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66925"/>
  <xr:revisionPtr revIDLastSave="0" documentId="8_{37413DF7-5EB0-48A3-9AAE-20D393E5317A}" xr6:coauthVersionLast="45" xr6:coauthVersionMax="45" xr10:uidLastSave="{00000000-0000-0000-0000-000000000000}"/>
  <bookViews>
    <workbookView xWindow="4410" yWindow="900" windowWidth="21630" windowHeight="14850" tabRatio="768" xr2:uid="{E8BD26FE-CE28-489A-B722-71F02AF91D44}"/>
  </bookViews>
  <sheets>
    <sheet name="Cover" sheetId="4" r:id="rId1"/>
    <sheet name="Introduction" sheetId="16" r:id="rId2"/>
    <sheet name="Acronyms" sheetId="1" r:id="rId3"/>
    <sheet name="Input" sheetId="8" r:id="rId4"/>
    <sheet name="2.1 Exposure from sleeping.." sheetId="13" r:id="rId5"/>
    <sheet name="2.2 Exposure during washing" sheetId="15" r:id="rId6"/>
    <sheet name="2.3 Exposure via breast milk" sheetId="14" r:id="rId7"/>
    <sheet name="Annex treating nets" sheetId="18" r:id="rId8"/>
    <sheet name="Risk characterization" sheetId="10" r:id="rId9"/>
    <sheet name="Reference data" sheetId="11" r:id="rId10"/>
  </sheets>
  <externalReferences>
    <externalReference r:id="rId11"/>
  </externalReferences>
  <definedNames>
    <definedName name="CA_FORMULATIONTYPE">'Reference data'!$B$12:$C$14</definedName>
    <definedName name="CA_FORMULATIONTYPE_LBL">'Reference data'!$B$18:$B$18</definedName>
    <definedName name="CA_TABLE_CONV">'Reference data'!$B$48:$C$49</definedName>
    <definedName name="CA_TABLE_CONV_LBL">'Reference data'!$B$48:$B$49</definedName>
    <definedName name="CA_TABLE4" localSheetId="7">'Reference data'!#REF!</definedName>
    <definedName name="CA_TABLE4">'Reference data'!#REF!</definedName>
    <definedName name="CA_TABLE4_LBL">'Reference data'!$B$13:$B$18</definedName>
    <definedName name="CA_TABLEA1">'Reference data'!$B$37:$C$45</definedName>
    <definedName name="CA_TABLEA1_LBL">'Reference data'!$B$37:$B$45</definedName>
    <definedName name="TOC_Hdg_1" hidden="1">[1]Keys_BO!$B$7</definedName>
    <definedName name="TOC_Hdg_2" hidden="1">[1]Keys_BO!$B$54</definedName>
    <definedName name="TOC_Hdg_3" hidden="1">[1]Keys_BO!$B$106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0" l="1"/>
  <c r="E23" i="10"/>
  <c r="E20" i="10"/>
  <c r="E19" i="10"/>
  <c r="E15" i="10"/>
  <c r="E12" i="10"/>
  <c r="E11" i="10"/>
  <c r="E10" i="10"/>
  <c r="E9" i="10"/>
  <c r="E8" i="10"/>
  <c r="E4" i="10"/>
  <c r="E3" i="10"/>
  <c r="F46" i="18"/>
  <c r="F12" i="18"/>
  <c r="E3" i="18"/>
  <c r="E2" i="18"/>
  <c r="F53" i="18" s="1"/>
  <c r="E2" i="15"/>
  <c r="E24" i="15" s="1"/>
  <c r="J34" i="13"/>
  <c r="E5" i="14" s="1"/>
  <c r="E26" i="13"/>
  <c r="E25" i="13"/>
  <c r="E22" i="13"/>
  <c r="E21" i="13"/>
  <c r="E18" i="13"/>
  <c r="E17" i="13"/>
  <c r="E16" i="13"/>
  <c r="E15" i="13"/>
  <c r="E12" i="13"/>
  <c r="E11" i="13"/>
  <c r="E10" i="13"/>
  <c r="E9" i="13"/>
  <c r="E8" i="13"/>
  <c r="D8" i="13"/>
  <c r="D12" i="13" s="1"/>
  <c r="E5" i="13"/>
  <c r="D2" i="13"/>
  <c r="D26" i="13" s="1"/>
  <c r="I33" i="13" s="1"/>
  <c r="E71" i="8"/>
  <c r="E67" i="8"/>
  <c r="E34" i="8"/>
  <c r="E31" i="8"/>
  <c r="E24" i="8"/>
  <c r="E23" i="8"/>
  <c r="I30" i="13" l="1"/>
  <c r="E6" i="14"/>
  <c r="E7" i="14"/>
  <c r="D9" i="13"/>
  <c r="D11" i="13"/>
  <c r="D15" i="13"/>
  <c r="D31" i="13" s="1"/>
  <c r="D17" i="13"/>
  <c r="H31" i="13" s="1"/>
  <c r="D21" i="13"/>
  <c r="H32" i="13" s="1"/>
  <c r="D25" i="13"/>
  <c r="H33" i="13" s="1"/>
  <c r="E5" i="15"/>
  <c r="E8" i="15"/>
  <c r="E12" i="15"/>
  <c r="E15" i="15"/>
  <c r="E20" i="15"/>
  <c r="E23" i="15"/>
  <c r="E9" i="14" s="1"/>
  <c r="D2" i="18"/>
  <c r="F6" i="18"/>
  <c r="F16" i="18"/>
  <c r="F20" i="18"/>
  <c r="F23" i="18"/>
  <c r="F27" i="18"/>
  <c r="F30" i="18"/>
  <c r="F34" i="18"/>
  <c r="F37" i="18"/>
  <c r="F42" i="18"/>
  <c r="F50" i="18"/>
  <c r="F54" i="18"/>
  <c r="D4" i="10"/>
  <c r="D2" i="15"/>
  <c r="F5" i="18"/>
  <c r="F15" i="18"/>
  <c r="F49" i="18"/>
  <c r="D3" i="10"/>
  <c r="D5" i="13"/>
  <c r="D6" i="13" s="1"/>
  <c r="E7" i="13" s="1"/>
  <c r="D10" i="13"/>
  <c r="D16" i="13"/>
  <c r="E31" i="13" s="1"/>
  <c r="D18" i="13"/>
  <c r="I31" i="13" s="1"/>
  <c r="D22" i="13"/>
  <c r="I32" i="13" s="1"/>
  <c r="E6" i="15"/>
  <c r="E9" i="15"/>
  <c r="E13" i="15"/>
  <c r="E16" i="15"/>
  <c r="E21" i="15"/>
  <c r="F13" i="18"/>
  <c r="F19" i="18"/>
  <c r="F22" i="18"/>
  <c r="F26" i="18"/>
  <c r="F29" i="18"/>
  <c r="F33" i="18"/>
  <c r="F36" i="18"/>
  <c r="F40" i="18"/>
  <c r="F47" i="18"/>
  <c r="D15" i="15" l="1"/>
  <c r="D5" i="15"/>
  <c r="D16" i="15"/>
  <c r="D13" i="15"/>
  <c r="D9" i="15"/>
  <c r="D6" i="15"/>
  <c r="D12" i="15"/>
  <c r="D8" i="15"/>
  <c r="D23" i="15" s="1"/>
  <c r="E11" i="14"/>
  <c r="E10" i="14"/>
  <c r="H34" i="13"/>
  <c r="D10" i="10" s="1"/>
  <c r="G10" i="10" s="1"/>
  <c r="H30" i="13"/>
  <c r="E34" i="13"/>
  <c r="E30" i="13"/>
  <c r="D16" i="18"/>
  <c r="E12" i="18"/>
  <c r="E8" i="18"/>
  <c r="D6" i="18"/>
  <c r="D40" i="18"/>
  <c r="D53" i="18" s="1"/>
  <c r="E36" i="18"/>
  <c r="E33" i="18"/>
  <c r="E29" i="18"/>
  <c r="E26" i="18"/>
  <c r="D22" i="18"/>
  <c r="D19" i="18"/>
  <c r="E13" i="18"/>
  <c r="D12" i="18"/>
  <c r="D8" i="18"/>
  <c r="D49" i="18" s="1"/>
  <c r="D42" i="18"/>
  <c r="D54" i="18" s="1"/>
  <c r="E37" i="18"/>
  <c r="E34" i="18"/>
  <c r="E30" i="18"/>
  <c r="E27" i="18"/>
  <c r="D23" i="18"/>
  <c r="D20" i="18"/>
  <c r="E16" i="18"/>
  <c r="D15" i="18"/>
  <c r="D9" i="18"/>
  <c r="E6" i="18"/>
  <c r="E47" i="18" s="1"/>
  <c r="D5" i="18"/>
  <c r="D46" i="18" s="1"/>
  <c r="E15" i="18"/>
  <c r="D13" i="18"/>
  <c r="E9" i="18"/>
  <c r="E5" i="18"/>
  <c r="E46" i="18" s="1"/>
  <c r="D34" i="13"/>
  <c r="D30" i="13"/>
  <c r="I34" i="13"/>
  <c r="D11" i="10" s="1"/>
  <c r="G11" i="10" s="1"/>
  <c r="D50" i="18" l="1"/>
  <c r="D47" i="18"/>
  <c r="D21" i="15"/>
  <c r="D20" i="10" s="1"/>
  <c r="G20" i="10" s="1"/>
  <c r="D20" i="15"/>
  <c r="D19" i="10" s="1"/>
  <c r="G19" i="10" s="1"/>
  <c r="E50" i="18"/>
  <c r="D23" i="10"/>
  <c r="G23" i="10" s="1"/>
  <c r="D8" i="10"/>
  <c r="G8" i="10" s="1"/>
  <c r="D9" i="14"/>
  <c r="H2" i="13"/>
  <c r="E49" i="18"/>
  <c r="D9" i="10"/>
  <c r="G9" i="10" s="1"/>
  <c r="D24" i="15"/>
  <c r="D24" i="10" s="1"/>
  <c r="G24" i="10" s="1"/>
  <c r="D11" i="14" l="1"/>
  <c r="D10" i="14"/>
  <c r="D15" i="10" s="1"/>
  <c r="G15" i="10" s="1"/>
  <c r="D5" i="14"/>
  <c r="D6" i="14" l="1"/>
  <c r="D22" i="14" s="1"/>
  <c r="D12" i="10" s="1"/>
  <c r="G12" i="10" s="1"/>
  <c r="D16" i="14"/>
  <c r="D7" i="14"/>
  <c r="D23" i="14" s="1"/>
  <c r="D18" i="14" l="1"/>
  <c r="D17" i="14"/>
</calcChain>
</file>

<file path=xl/sharedStrings.xml><?xml version="1.0" encoding="utf-8"?>
<sst xmlns="http://schemas.openxmlformats.org/spreadsheetml/2006/main" count="674" uniqueCount="369">
  <si>
    <t>acceptable daily intake</t>
  </si>
  <si>
    <t>active ingredient</t>
  </si>
  <si>
    <t>acute reference dose</t>
  </si>
  <si>
    <t>tolerable systemic dose</t>
  </si>
  <si>
    <t>time-weighted average</t>
  </si>
  <si>
    <t>uncertainty factor</t>
  </si>
  <si>
    <t>-</t>
  </si>
  <si>
    <t>NOAEL</t>
  </si>
  <si>
    <t>LOAEL</t>
  </si>
  <si>
    <t>UF</t>
  </si>
  <si>
    <t>%</t>
  </si>
  <si>
    <t>TSD</t>
  </si>
  <si>
    <t>molecular mass</t>
  </si>
  <si>
    <t>vapour pressure</t>
  </si>
  <si>
    <t>Pa</t>
  </si>
  <si>
    <t>Table 3. Anthropometric and physiological characteristics used in the model</t>
  </si>
  <si>
    <t xml:space="preserve">Adult </t>
  </si>
  <si>
    <t>Child
6–11 yr</t>
  </si>
  <si>
    <t>Toddler
12–24 mo</t>
  </si>
  <si>
    <t>Infant
≤ 12 mo</t>
  </si>
  <si>
    <t>inhalalation absorption</t>
  </si>
  <si>
    <t>dermal absorption</t>
  </si>
  <si>
    <t>(default 100%)</t>
  </si>
  <si>
    <t>AT</t>
  </si>
  <si>
    <r>
      <t>SysD</t>
    </r>
    <r>
      <rPr>
        <sz val="11"/>
        <color rgb="FF000000"/>
        <rFont val="Calibri"/>
        <family val="2"/>
        <scheme val="minor"/>
      </rPr>
      <t>TWA</t>
    </r>
  </si>
  <si>
    <r>
      <t xml:space="preserve">µg kgbw </t>
    </r>
    <r>
      <rPr>
        <b/>
        <vertAlign val="superscript"/>
        <sz val="11"/>
        <color rgb="FF000000"/>
        <rFont val="Calibri"/>
        <family val="2"/>
        <scheme val="minor"/>
      </rPr>
      <t>-1</t>
    </r>
    <r>
      <rPr>
        <b/>
        <sz val="11"/>
        <color rgb="FF000000"/>
        <rFont val="Calibri"/>
        <family val="2"/>
        <scheme val="minor"/>
      </rPr>
      <t xml:space="preserve"> d</t>
    </r>
    <r>
      <rPr>
        <b/>
        <vertAlign val="superscript"/>
        <sz val="11"/>
        <color rgb="FF000000"/>
        <rFont val="Calibri"/>
        <family val="2"/>
        <scheme val="minor"/>
      </rPr>
      <t>-1</t>
    </r>
  </si>
  <si>
    <r>
      <t>Sys</t>
    </r>
    <r>
      <rPr>
        <i/>
        <vertAlign val="subscript"/>
        <sz val="11"/>
        <color rgb="FF000000"/>
        <rFont val="Calibri"/>
        <family val="2"/>
        <scheme val="minor"/>
      </rPr>
      <t>DMAX</t>
    </r>
  </si>
  <si>
    <t>Transl</t>
  </si>
  <si>
    <t>Predicted TWA systemic dose - adults</t>
  </si>
  <si>
    <t>Predicted TWA systemic dose - children</t>
  </si>
  <si>
    <t>Predicted TWA systemic dose - toddlers</t>
  </si>
  <si>
    <t>Predicted TWA systemic dose - infants</t>
  </si>
  <si>
    <t>Maximal daily systemic dose - adults</t>
  </si>
  <si>
    <t>Maximal daily systemic dose - children</t>
  </si>
  <si>
    <t>fraction of hand area mouthed</t>
  </si>
  <si>
    <t>SolC</t>
  </si>
  <si>
    <t>day</t>
  </si>
  <si>
    <t>IR</t>
  </si>
  <si>
    <t>Newborn</t>
  </si>
  <si>
    <t>Total TWA resident predicted dose</t>
  </si>
  <si>
    <t>Adult</t>
  </si>
  <si>
    <t>Child</t>
  </si>
  <si>
    <t>Toddler</t>
  </si>
  <si>
    <t>Infant</t>
  </si>
  <si>
    <t>Total predicted maximal daily dose</t>
  </si>
  <si>
    <t>Ratio</t>
  </si>
  <si>
    <t>Adults</t>
  </si>
  <si>
    <t>Children</t>
  </si>
  <si>
    <t>Infants</t>
  </si>
  <si>
    <t>Newborn babies - breast milk exposure</t>
  </si>
  <si>
    <t>3. Risk characterization summary</t>
  </si>
  <si>
    <t>tolerable systemic dose, acute exposure</t>
  </si>
  <si>
    <t>ADI</t>
  </si>
  <si>
    <t>a.i.</t>
  </si>
  <si>
    <t>ARfD</t>
  </si>
  <si>
    <t>guideline scenario</t>
  </si>
  <si>
    <t>the insecticide is used according to the instructions given on the product label and in WHO guideline information</t>
  </si>
  <si>
    <t>ITN</t>
  </si>
  <si>
    <t>insecticide-treated net – either conventionally treated and retreatable net or long-lasting net (LN)</t>
  </si>
  <si>
    <t>lax standard scenario</t>
  </si>
  <si>
    <t>tropical conditions are accommodated and no personal protection other than light clothing covering the trunk is assumed</t>
  </si>
  <si>
    <t>LN</t>
  </si>
  <si>
    <t>factory-treated long-lasting insecticidal net – not retreated by dipping</t>
  </si>
  <si>
    <t>lowest-observed-adverse-effect level</t>
  </si>
  <si>
    <t>no-observed-adverse-effect level</t>
  </si>
  <si>
    <t>TSD AC</t>
  </si>
  <si>
    <t>TWA</t>
  </si>
  <si>
    <t>a) Inhalation</t>
  </si>
  <si>
    <t>PYR</t>
  </si>
  <si>
    <t>Should inhalation be considered?</t>
  </si>
  <si>
    <t>Worst case systemic dose as % of TSD</t>
  </si>
  <si>
    <t>a) Dermal</t>
  </si>
  <si>
    <t>translodgeable fraction (default 6%)</t>
  </si>
  <si>
    <t>default 6%</t>
  </si>
  <si>
    <t xml:space="preserve">Child </t>
  </si>
  <si>
    <t xml:space="preserve">Toddler </t>
  </si>
  <si>
    <t xml:space="preserve">Trunk </t>
  </si>
  <si>
    <t xml:space="preserve">Hands </t>
  </si>
  <si>
    <t xml:space="preserve">Arms </t>
  </si>
  <si>
    <t xml:space="preserve">Lower legs </t>
  </si>
  <si>
    <t xml:space="preserve">Feet </t>
  </si>
  <si>
    <t xml:space="preserve">Total </t>
  </si>
  <si>
    <t>surface fraction of the insecticide (100–wash resistance index%; see Section 3.2.2)</t>
  </si>
  <si>
    <t>SF</t>
  </si>
  <si>
    <t>wash resistance index</t>
  </si>
  <si>
    <t>TC</t>
  </si>
  <si>
    <t>nominal concentration on the net</t>
  </si>
  <si>
    <t>specification uncertainty</t>
  </si>
  <si>
    <t>concentration of the a.i. in the net (mg/m2 see Section 3.2.1)</t>
  </si>
  <si>
    <r>
      <t>mg/m</t>
    </r>
    <r>
      <rPr>
        <b/>
        <vertAlign val="superscript"/>
        <sz val="11"/>
        <color theme="1"/>
        <rFont val="Calibri"/>
        <family val="2"/>
        <scheme val="minor"/>
      </rPr>
      <t>2</t>
    </r>
  </si>
  <si>
    <t>oral absorption</t>
  </si>
  <si>
    <t>Dermal</t>
  </si>
  <si>
    <t>Oral</t>
  </si>
  <si>
    <t>SE</t>
  </si>
  <si>
    <t xml:space="preserve">salivary extraction fraction </t>
  </si>
  <si>
    <t>NM</t>
  </si>
  <si>
    <t>e) Total dose from sleeping under the net</t>
  </si>
  <si>
    <t>Sum of systemic dose from inhalation, dermal and oral exposure</t>
  </si>
  <si>
    <t>a) Dermal exposure during net washing</t>
  </si>
  <si>
    <t>b) Oral exposure (hand-to-mouth) during net washing</t>
  </si>
  <si>
    <t>c) Total dose from net washing</t>
  </si>
  <si>
    <t>NoW</t>
  </si>
  <si>
    <t xml:space="preserve">NoN </t>
  </si>
  <si>
    <t>mL</t>
  </si>
  <si>
    <t>VLS adult</t>
  </si>
  <si>
    <t>VLS child</t>
  </si>
  <si>
    <t>volume of liquid on skin</t>
  </si>
  <si>
    <t>SN</t>
  </si>
  <si>
    <t>m2</t>
  </si>
  <si>
    <t>VolW</t>
  </si>
  <si>
    <t>days</t>
  </si>
  <si>
    <t>Maximal daily dose - adults</t>
  </si>
  <si>
    <t>Maximal daily dose - children</t>
  </si>
  <si>
    <t>VLH adult</t>
  </si>
  <si>
    <t>VLH child</t>
  </si>
  <si>
    <t>volume of liquid on hands (mL) (adult 8.2 mL, child 4.3 mL)</t>
  </si>
  <si>
    <t>Total dose from mother’s milk</t>
  </si>
  <si>
    <t>Predicted TWA systemic dose - infant</t>
  </si>
  <si>
    <t>Predicted TWA systemic dose - newborn</t>
  </si>
  <si>
    <t>Maximal daily dose - newborn</t>
  </si>
  <si>
    <t>Maximal daily dose - infant</t>
  </si>
  <si>
    <t>Exposure from sleeping under a net</t>
  </si>
  <si>
    <t>Exposure from sleeping under the net and net washing</t>
  </si>
  <si>
    <t>TWA daily systemic dose</t>
  </si>
  <si>
    <t>Maximal daily systemic dose</t>
  </si>
  <si>
    <t xml:space="preserve">source: </t>
  </si>
  <si>
    <t>daily dose to the mother mg/kg bw</t>
  </si>
  <si>
    <t>Only relevant in case of Exposure via breast milk estimated from kinetic properties</t>
  </si>
  <si>
    <r>
      <t>kg d</t>
    </r>
    <r>
      <rPr>
        <b/>
        <vertAlign val="superscript"/>
        <sz val="11"/>
        <color rgb="FF000000"/>
        <rFont val="Calibri"/>
        <family val="2"/>
        <scheme val="minor"/>
      </rPr>
      <t>-1</t>
    </r>
  </si>
  <si>
    <r>
      <t>mg kgbw d</t>
    </r>
    <r>
      <rPr>
        <b/>
        <vertAlign val="superscript"/>
        <sz val="11"/>
        <color rgb="FF000000"/>
        <rFont val="Calibri"/>
        <family val="2"/>
        <scheme val="minor"/>
      </rPr>
      <t>-1</t>
    </r>
  </si>
  <si>
    <t xml:space="preserve">Solubility constant </t>
  </si>
  <si>
    <t>Conclusion: Values used in further calculations:</t>
  </si>
  <si>
    <t>Product name</t>
  </si>
  <si>
    <t>Physio-chemical properties</t>
  </si>
  <si>
    <t>Identification</t>
  </si>
  <si>
    <t>MM</t>
  </si>
  <si>
    <t>VP</t>
  </si>
  <si>
    <t>first-order kinetics half time in the body of the insecticide, days.</t>
  </si>
  <si>
    <t>Toxicology</t>
  </si>
  <si>
    <t>value</t>
  </si>
  <si>
    <t>unit</t>
  </si>
  <si>
    <t>Model specific properties</t>
  </si>
  <si>
    <t>optional</t>
  </si>
  <si>
    <t>volume of liquid on hands (mL)</t>
  </si>
  <si>
    <t>Exposure via breast milk</t>
  </si>
  <si>
    <r>
      <t xml:space="preserve">T </t>
    </r>
    <r>
      <rPr>
        <i/>
        <vertAlign val="subscript"/>
        <sz val="11"/>
        <color theme="1"/>
        <rFont val="Calibri"/>
        <family val="2"/>
        <scheme val="minor"/>
      </rPr>
      <t>1/2</t>
    </r>
  </si>
  <si>
    <r>
      <t>TSD</t>
    </r>
    <r>
      <rPr>
        <i/>
        <vertAlign val="subscript"/>
        <sz val="11"/>
        <color theme="1"/>
        <rFont val="Calibri"/>
        <family val="2"/>
        <scheme val="minor"/>
      </rPr>
      <t>ac</t>
    </r>
  </si>
  <si>
    <r>
      <t>F</t>
    </r>
    <r>
      <rPr>
        <i/>
        <vertAlign val="subscript"/>
        <sz val="11"/>
        <color theme="1"/>
        <rFont val="Calibri"/>
        <family val="2"/>
        <scheme val="minor"/>
      </rPr>
      <t>HM</t>
    </r>
  </si>
  <si>
    <r>
      <t>Fr</t>
    </r>
    <r>
      <rPr>
        <i/>
        <vertAlign val="subscript"/>
        <sz val="11"/>
        <color theme="1"/>
        <rFont val="Calibri"/>
        <family val="2"/>
        <scheme val="minor"/>
      </rPr>
      <t>milk</t>
    </r>
  </si>
  <si>
    <r>
      <t>Dose</t>
    </r>
    <r>
      <rPr>
        <i/>
        <vertAlign val="subscript"/>
        <sz val="11"/>
        <color theme="1"/>
        <rFont val="Calibri"/>
        <family val="2"/>
        <scheme val="minor"/>
      </rPr>
      <t>Mtwa</t>
    </r>
  </si>
  <si>
    <r>
      <t>Dose</t>
    </r>
    <r>
      <rPr>
        <i/>
        <vertAlign val="subscript"/>
        <sz val="11"/>
        <color theme="1"/>
        <rFont val="Calibri"/>
        <family val="2"/>
        <scheme val="minor"/>
      </rPr>
      <t>MMAX</t>
    </r>
  </si>
  <si>
    <r>
      <t>Dose</t>
    </r>
    <r>
      <rPr>
        <i/>
        <vertAlign val="subscript"/>
        <sz val="11"/>
        <color theme="1"/>
        <rFont val="Calibri"/>
        <family val="2"/>
        <scheme val="minor"/>
      </rPr>
      <t>Mbw</t>
    </r>
  </si>
  <si>
    <r>
      <t>Abs</t>
    </r>
    <r>
      <rPr>
        <i/>
        <vertAlign val="subscript"/>
        <sz val="11"/>
        <color theme="1"/>
        <rFont val="Calibri"/>
        <family val="2"/>
        <scheme val="minor"/>
      </rPr>
      <t>oral</t>
    </r>
  </si>
  <si>
    <r>
      <t>Abs</t>
    </r>
    <r>
      <rPr>
        <i/>
        <vertAlign val="subscript"/>
        <sz val="11"/>
        <color theme="1"/>
        <rFont val="Calibri"/>
        <family val="2"/>
        <scheme val="minor"/>
      </rPr>
      <t>dermal</t>
    </r>
  </si>
  <si>
    <r>
      <t>Abs</t>
    </r>
    <r>
      <rPr>
        <i/>
        <vertAlign val="subscript"/>
        <sz val="11"/>
        <color theme="1"/>
        <rFont val="Calibri"/>
        <family val="2"/>
        <scheme val="minor"/>
      </rPr>
      <t>inh</t>
    </r>
  </si>
  <si>
    <t xml:space="preserve">a toddler staying 24 hours/day at a saturated vapour pressure concentration) to the pesticide can be estimated (HEEG, 2013b) </t>
  </si>
  <si>
    <t>systemic dose = 0.328 × MM × VP</t>
  </si>
  <si>
    <t>calculation</t>
  </si>
  <si>
    <t>formula</t>
  </si>
  <si>
    <t>comments</t>
  </si>
  <si>
    <t>Table 5. Skin surface area potentially in contact with the net (m2)a</t>
  </si>
  <si>
    <r>
      <t>Exposed Hand Area (EHA)[m</t>
    </r>
    <r>
      <rPr>
        <vertAlign val="superscript"/>
        <sz val="10"/>
        <color theme="1"/>
        <rFont val="Calibri"/>
        <family val="2"/>
        <scheme val="minor"/>
      </rPr>
      <t>2</t>
    </r>
    <r>
      <rPr>
        <sz val="10"/>
        <color theme="1"/>
        <rFont val="Calibri"/>
        <family val="2"/>
        <scheme val="minor"/>
      </rPr>
      <t>]</t>
    </r>
  </si>
  <si>
    <r>
      <t>Exposed Skin Area (ESA)[m</t>
    </r>
    <r>
      <rPr>
        <vertAlign val="superscript"/>
        <sz val="10"/>
        <color theme="1"/>
        <rFont val="Calibri"/>
        <family val="2"/>
        <scheme val="minor"/>
      </rPr>
      <t>2</t>
    </r>
    <r>
      <rPr>
        <sz val="10"/>
        <color theme="1"/>
        <rFont val="Calibri"/>
        <family val="2"/>
        <scheme val="minor"/>
      </rPr>
      <t>]</t>
    </r>
  </si>
  <si>
    <t>Average sleeping times (H) are estimated (USEPA, 2011)</t>
  </si>
  <si>
    <t>Data on respiratory volumes at rest for adults and children (BV) (USEPA, 2011)</t>
  </si>
  <si>
    <r>
      <t>C</t>
    </r>
    <r>
      <rPr>
        <vertAlign val="subscript"/>
        <sz val="11"/>
        <color theme="1"/>
        <rFont val="Calibri"/>
        <family val="2"/>
        <scheme val="minor"/>
      </rPr>
      <t>air</t>
    </r>
  </si>
  <si>
    <t>Concentration of insecticide in breathing zone</t>
  </si>
  <si>
    <t>no</t>
  </si>
  <si>
    <t>if &lt; 10% no need to do inhalation exposure (see p. 10)</t>
  </si>
  <si>
    <t>Worst case systemic dose</t>
  </si>
  <si>
    <t>b) Dermal</t>
  </si>
  <si>
    <t>c) Oral hand to mouth</t>
  </si>
  <si>
    <t>d) Oral, direct mouth contact with net</t>
  </si>
  <si>
    <t>n.a</t>
  </si>
  <si>
    <t>$ 3.2.3</t>
  </si>
  <si>
    <t>BOX 4</t>
  </si>
  <si>
    <t>BOX 1</t>
  </si>
  <si>
    <t>BOX 2</t>
  </si>
  <si>
    <t>BOX 3</t>
  </si>
  <si>
    <t>BOX 5</t>
  </si>
  <si>
    <t>BOX 6</t>
  </si>
  <si>
    <t>BOX 7</t>
  </si>
  <si>
    <t>reference</t>
  </si>
  <si>
    <t>description</t>
  </si>
  <si>
    <t>parameter</t>
  </si>
  <si>
    <t>Exposure via breast milk estimated from kinetic properties</t>
  </si>
  <si>
    <t>BOX 8</t>
  </si>
  <si>
    <t>Acronyms</t>
  </si>
  <si>
    <t>Conventions</t>
  </si>
  <si>
    <t>calculated value</t>
  </si>
  <si>
    <r>
      <t xml:space="preserve">TSD </t>
    </r>
    <r>
      <rPr>
        <i/>
        <vertAlign val="subscript"/>
        <sz val="11"/>
        <color theme="1"/>
        <rFont val="Calibri"/>
        <family val="2"/>
        <scheme val="minor"/>
      </rPr>
      <t>AC</t>
    </r>
  </si>
  <si>
    <t>linked values</t>
  </si>
  <si>
    <t>3.2.4 Exposure via breast milk estimated from fraction of dose excreted in milk</t>
  </si>
  <si>
    <t>3.2.3 Systemic exposure during washing of nets</t>
  </si>
  <si>
    <t>3.2.2 Inhalation, dermal, and oral exposure from sleeping under treated nets</t>
  </si>
  <si>
    <t>Input data for product</t>
  </si>
  <si>
    <t>rest of table ignored</t>
  </si>
  <si>
    <t>Data on respiratory volumes at rest BV (m3/h)</t>
  </si>
  <si>
    <t>Average sleeping times H (h)</t>
  </si>
  <si>
    <t>n.a.</t>
  </si>
  <si>
    <t>a Assumes one-third of surface area of body part is in contact with the net; adapted from USEPA, 2011, HEEG, 2013a. Calculated from body surface data p</t>
  </si>
  <si>
    <t>Box 1: Data on respiratory volumes at rest and average sleeping times</t>
  </si>
  <si>
    <t>green = data used in this model</t>
  </si>
  <si>
    <t>Calculation model version:</t>
  </si>
  <si>
    <t>Model description:</t>
  </si>
  <si>
    <t>Source</t>
  </si>
  <si>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Abs</t>
    </r>
    <r>
      <rPr>
        <sz val="5"/>
        <color rgb="FF000000"/>
        <rFont val="Calibri"/>
        <family val="2"/>
        <scheme val="minor"/>
      </rPr>
      <t xml:space="preserve">Inh </t>
    </r>
    <r>
      <rPr>
        <sz val="8"/>
        <color rgb="FF000000"/>
        <rFont val="Calibri"/>
        <family val="2"/>
        <scheme val="minor"/>
      </rPr>
      <t xml:space="preserve">× </t>
    </r>
    <r>
      <rPr>
        <i/>
        <sz val="8"/>
        <color rgb="FF000000"/>
        <rFont val="Calibri"/>
        <family val="2"/>
        <scheme val="minor"/>
      </rPr>
      <t>C</t>
    </r>
    <r>
      <rPr>
        <sz val="5"/>
        <color rgb="FF000000"/>
        <rFont val="Calibri"/>
        <family val="2"/>
        <scheme val="minor"/>
      </rPr>
      <t xml:space="preserve">air </t>
    </r>
    <r>
      <rPr>
        <sz val="8"/>
        <color rgb="FF000000"/>
        <rFont val="Calibri"/>
        <family val="2"/>
        <scheme val="minor"/>
      </rPr>
      <t xml:space="preserve">x </t>
    </r>
    <r>
      <rPr>
        <i/>
        <sz val="8"/>
        <color rgb="FF000000"/>
        <rFont val="Calibri"/>
        <family val="2"/>
        <scheme val="minor"/>
      </rPr>
      <t xml:space="preserve">BV </t>
    </r>
    <r>
      <rPr>
        <sz val="8"/>
        <color rgb="FF000000"/>
        <rFont val="Calibri"/>
        <family val="2"/>
        <scheme val="minor"/>
      </rPr>
      <t xml:space="preserve">x </t>
    </r>
    <r>
      <rPr>
        <i/>
        <sz val="8"/>
        <color rgb="FF000000"/>
        <rFont val="Calibri"/>
        <family val="2"/>
        <scheme val="minor"/>
      </rPr>
      <t>H/BW</t>
    </r>
  </si>
  <si>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Abs</t>
    </r>
    <r>
      <rPr>
        <sz val="5"/>
        <color rgb="FF000000"/>
        <rFont val="Calibri"/>
        <family val="2"/>
        <scheme val="minor"/>
      </rPr>
      <t xml:space="preserve">D </t>
    </r>
    <r>
      <rPr>
        <sz val="8"/>
        <color rgb="FF000000"/>
        <rFont val="Calibri"/>
        <family val="2"/>
        <scheme val="minor"/>
      </rPr>
      <t xml:space="preserve">× </t>
    </r>
    <r>
      <rPr>
        <i/>
        <sz val="8"/>
        <color rgb="FF000000"/>
        <rFont val="Calibri"/>
        <family val="2"/>
        <scheme val="minor"/>
      </rPr>
      <t xml:space="preserve">Transl </t>
    </r>
    <r>
      <rPr>
        <sz val="8"/>
        <color rgb="FF000000"/>
        <rFont val="Calibri"/>
        <family val="2"/>
        <scheme val="minor"/>
      </rPr>
      <t xml:space="preserve">× </t>
    </r>
    <r>
      <rPr>
        <i/>
        <sz val="8"/>
        <color rgb="FF000000"/>
        <rFont val="Calibri"/>
        <family val="2"/>
        <scheme val="minor"/>
      </rPr>
      <t xml:space="preserve">ESA </t>
    </r>
    <r>
      <rPr>
        <sz val="8"/>
        <color rgb="FF000000"/>
        <rFont val="Calibri"/>
        <family val="2"/>
        <scheme val="minor"/>
      </rPr>
      <t xml:space="preserve">× </t>
    </r>
    <r>
      <rPr>
        <i/>
        <sz val="8"/>
        <color rgb="FF000000"/>
        <rFont val="Calibri"/>
        <family val="2"/>
        <scheme val="minor"/>
      </rPr>
      <t xml:space="preserve">SF </t>
    </r>
    <r>
      <rPr>
        <sz val="8"/>
        <color rgb="FF000000"/>
        <rFont val="Calibri"/>
        <family val="2"/>
        <scheme val="minor"/>
      </rPr>
      <t xml:space="preserve">× </t>
    </r>
    <r>
      <rPr>
        <i/>
        <sz val="8"/>
        <color rgb="FF000000"/>
        <rFont val="Calibri"/>
        <family val="2"/>
        <scheme val="minor"/>
      </rPr>
      <t>TC</t>
    </r>
    <r>
      <rPr>
        <sz val="8"/>
        <color rgb="FF000000"/>
        <rFont val="Calibri"/>
        <family val="2"/>
        <scheme val="minor"/>
      </rPr>
      <t>/BW</t>
    </r>
  </si>
  <si>
    <r>
      <t>SysD</t>
    </r>
    <r>
      <rPr>
        <sz val="5"/>
        <color rgb="FF000000"/>
        <rFont val="Calibri"/>
        <family val="2"/>
        <scheme val="minor"/>
      </rPr>
      <t xml:space="preserve">TWA </t>
    </r>
    <r>
      <rPr>
        <i/>
        <sz val="8"/>
        <color rgb="FF000000"/>
        <rFont val="Calibri"/>
        <family val="2"/>
        <scheme val="minor"/>
      </rPr>
      <t>= Abs</t>
    </r>
    <r>
      <rPr>
        <sz val="5"/>
        <color rgb="FF000000"/>
        <rFont val="Calibri"/>
        <family val="2"/>
        <scheme val="minor"/>
      </rPr>
      <t xml:space="preserve">O </t>
    </r>
    <r>
      <rPr>
        <i/>
        <sz val="8"/>
        <color rgb="FF000000"/>
        <rFont val="Calibri"/>
        <family val="2"/>
        <scheme val="minor"/>
      </rPr>
      <t>× SE × Transl × EHA × FHM × SF × TC / BW mg kgbw-1 (see Box 3)</t>
    </r>
  </si>
  <si>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Abs</t>
    </r>
    <r>
      <rPr>
        <sz val="5"/>
        <color rgb="FF000000"/>
        <rFont val="Calibri"/>
        <family val="2"/>
        <scheme val="minor"/>
      </rPr>
      <t xml:space="preserve">O </t>
    </r>
    <r>
      <rPr>
        <i/>
        <sz val="8"/>
        <color rgb="FF000000"/>
        <rFont val="Calibri"/>
        <family val="2"/>
        <scheme val="minor"/>
      </rPr>
      <t>× SE × NM × SF × TC/BW</t>
    </r>
  </si>
  <si>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NoW × NoN × Abs</t>
    </r>
    <r>
      <rPr>
        <sz val="8"/>
        <color rgb="FF000000"/>
        <rFont val="Calibri"/>
        <family val="2"/>
        <scheme val="minor"/>
      </rPr>
      <t xml:space="preserve">D </t>
    </r>
    <r>
      <rPr>
        <i/>
        <sz val="8"/>
        <color rgb="FF000000"/>
        <rFont val="Calibri"/>
        <family val="2"/>
        <scheme val="minor"/>
      </rPr>
      <t xml:space="preserve">× VLS × SF × TC × SN /
</t>
    </r>
    <r>
      <rPr>
        <sz val="8"/>
        <color rgb="FF000000"/>
        <rFont val="Calibri"/>
        <family val="2"/>
        <scheme val="minor"/>
      </rPr>
      <t>(</t>
    </r>
    <r>
      <rPr>
        <i/>
        <sz val="8"/>
        <color rgb="FF000000"/>
        <rFont val="Calibri"/>
        <family val="2"/>
        <scheme val="minor"/>
      </rPr>
      <t>VolW × BW × AT</t>
    </r>
    <r>
      <rPr>
        <sz val="8"/>
        <color rgb="FF000000"/>
        <rFont val="Calibri"/>
        <family val="2"/>
        <scheme val="minor"/>
      </rPr>
      <t>) (mg kg</t>
    </r>
    <r>
      <rPr>
        <sz val="5"/>
        <color rgb="FF000000"/>
        <rFont val="Calibri"/>
        <family val="2"/>
        <scheme val="minor"/>
      </rPr>
      <t>bw-1</t>
    </r>
    <r>
      <rPr>
        <sz val="8"/>
        <color rgb="FF000000"/>
        <rFont val="Calibri"/>
        <family val="2"/>
        <scheme val="minor"/>
      </rPr>
      <t>) (</t>
    </r>
    <r>
      <rPr>
        <i/>
        <sz val="8"/>
        <color rgb="FF000000"/>
        <rFont val="Calibri"/>
        <family val="2"/>
        <scheme val="minor"/>
      </rPr>
      <t>Box 5</t>
    </r>
    <r>
      <rPr>
        <sz val="8"/>
        <color rgb="FF000000"/>
        <rFont val="Calibri"/>
        <family val="2"/>
        <scheme val="minor"/>
      </rPr>
      <t>)</t>
    </r>
  </si>
  <si>
    <r>
      <t>SysD</t>
    </r>
    <r>
      <rPr>
        <sz val="5"/>
        <color rgb="FF000000"/>
        <rFont val="Calibri"/>
        <family val="2"/>
        <scheme val="minor"/>
      </rPr>
      <t xml:space="preserve">MAX </t>
    </r>
    <r>
      <rPr>
        <sz val="8"/>
        <color rgb="FF000000"/>
        <rFont val="Calibri"/>
        <family val="2"/>
        <scheme val="minor"/>
      </rPr>
      <t xml:space="preserve">= </t>
    </r>
    <r>
      <rPr>
        <i/>
        <sz val="8"/>
        <color rgb="FF000000"/>
        <rFont val="Calibri"/>
        <family val="2"/>
        <scheme val="minor"/>
      </rPr>
      <t>NoN × Abs</t>
    </r>
    <r>
      <rPr>
        <sz val="5"/>
        <color rgb="FF000000"/>
        <rFont val="Calibri"/>
        <family val="2"/>
        <scheme val="minor"/>
      </rPr>
      <t xml:space="preserve">D </t>
    </r>
    <r>
      <rPr>
        <i/>
        <sz val="8"/>
        <color rgb="FF000000"/>
        <rFont val="Calibri"/>
        <family val="2"/>
        <scheme val="minor"/>
      </rPr>
      <t xml:space="preserve">× VLS × SF × TC × SN / </t>
    </r>
    <r>
      <rPr>
        <sz val="8"/>
        <color rgb="FF000000"/>
        <rFont val="Calibri"/>
        <family val="2"/>
        <scheme val="minor"/>
      </rPr>
      <t>(</t>
    </r>
    <r>
      <rPr>
        <i/>
        <sz val="8"/>
        <color rgb="FF000000"/>
        <rFont val="Calibri"/>
        <family val="2"/>
        <scheme val="minor"/>
      </rPr>
      <t>VolW ×
BW</t>
    </r>
    <r>
      <rPr>
        <sz val="8"/>
        <color rgb="FF000000"/>
        <rFont val="Calibri"/>
        <family val="2"/>
        <scheme val="minor"/>
      </rPr>
      <t>) (mg kg</t>
    </r>
    <r>
      <rPr>
        <sz val="5"/>
        <color rgb="FF000000"/>
        <rFont val="Calibri"/>
        <family val="2"/>
        <scheme val="minor"/>
      </rPr>
      <t>bw-1</t>
    </r>
    <r>
      <rPr>
        <sz val="8"/>
        <color rgb="FF000000"/>
        <rFont val="Calibri"/>
        <family val="2"/>
        <scheme val="minor"/>
      </rPr>
      <t>)</t>
    </r>
  </si>
  <si>
    <r>
      <t>NoW × NoN × Abs</t>
    </r>
    <r>
      <rPr>
        <sz val="5"/>
        <color rgb="FF000000"/>
        <rFont val="Calibri"/>
        <family val="2"/>
        <scheme val="minor"/>
      </rPr>
      <t xml:space="preserve">O </t>
    </r>
    <r>
      <rPr>
        <i/>
        <sz val="8"/>
        <color rgb="FF000000"/>
        <rFont val="Calibri"/>
        <family val="2"/>
        <scheme val="minor"/>
      </rPr>
      <t>× VLH × SF × TC × FHM × SN/(VolW × BW × AV)</t>
    </r>
  </si>
  <si>
    <r>
      <t>NoN × Abs</t>
    </r>
    <r>
      <rPr>
        <sz val="5"/>
        <color rgb="FF000000"/>
        <rFont val="Calibri"/>
        <family val="2"/>
        <scheme val="minor"/>
      </rPr>
      <t xml:space="preserve">O </t>
    </r>
    <r>
      <rPr>
        <i/>
        <sz val="8"/>
        <color rgb="FF000000"/>
        <rFont val="Calibri"/>
        <family val="2"/>
        <scheme val="minor"/>
      </rPr>
      <t>× VLH × SF × TC × FHM × SN/(VolW × BW)</t>
    </r>
  </si>
  <si>
    <r>
      <t>SysD</t>
    </r>
    <r>
      <rPr>
        <sz val="5"/>
        <color rgb="FF000000"/>
        <rFont val="Calibri"/>
        <family val="2"/>
        <scheme val="minor"/>
      </rPr>
      <t xml:space="preserve">TWA </t>
    </r>
    <r>
      <rPr>
        <i/>
        <sz val="8"/>
        <color rgb="FF000000"/>
        <rFont val="Calibri"/>
        <family val="2"/>
        <scheme val="minor"/>
      </rPr>
      <t>= Fr</t>
    </r>
    <r>
      <rPr>
        <sz val="5"/>
        <color rgb="FF000000"/>
        <rFont val="Calibri"/>
        <family val="2"/>
        <scheme val="minor"/>
      </rPr>
      <t xml:space="preserve">milk </t>
    </r>
    <r>
      <rPr>
        <i/>
        <sz val="8"/>
        <color rgb="FF000000"/>
        <rFont val="Calibri"/>
        <family val="2"/>
        <scheme val="minor"/>
      </rPr>
      <t>× Abs</t>
    </r>
    <r>
      <rPr>
        <sz val="5"/>
        <color rgb="FF000000"/>
        <rFont val="Calibri"/>
        <family val="2"/>
        <scheme val="minor"/>
      </rPr>
      <t xml:space="preserve">O </t>
    </r>
    <r>
      <rPr>
        <i/>
        <sz val="8"/>
        <color rgb="FF000000"/>
        <rFont val="Calibri"/>
        <family val="2"/>
        <scheme val="minor"/>
      </rPr>
      <t>× DoseM</t>
    </r>
    <r>
      <rPr>
        <sz val="5"/>
        <color rgb="FF000000"/>
        <rFont val="Calibri"/>
        <family val="2"/>
        <scheme val="minor"/>
      </rPr>
      <t xml:space="preserve">TWA </t>
    </r>
    <r>
      <rPr>
        <i/>
        <sz val="8"/>
        <color rgb="FF000000"/>
        <rFont val="Calibri"/>
        <family val="2"/>
        <scheme val="minor"/>
      </rPr>
      <t>× BW</t>
    </r>
    <r>
      <rPr>
        <sz val="5"/>
        <color rgb="FF000000"/>
        <rFont val="Calibri"/>
        <family val="2"/>
        <scheme val="minor"/>
      </rPr>
      <t xml:space="preserve">M </t>
    </r>
    <r>
      <rPr>
        <i/>
        <sz val="8"/>
        <color rgb="FF000000"/>
        <rFont val="Calibri"/>
        <family val="2"/>
        <scheme val="minor"/>
      </rPr>
      <t>× UF / BW</t>
    </r>
  </si>
  <si>
    <r>
      <t>Fr</t>
    </r>
    <r>
      <rPr>
        <sz val="5"/>
        <color rgb="FF000000"/>
        <rFont val="Calibri"/>
        <family val="2"/>
        <scheme val="minor"/>
      </rPr>
      <t xml:space="preserve">milk </t>
    </r>
    <r>
      <rPr>
        <i/>
        <sz val="8"/>
        <color rgb="FF000000"/>
        <rFont val="Calibri"/>
        <family val="2"/>
        <scheme val="minor"/>
      </rPr>
      <t>× Abs</t>
    </r>
    <r>
      <rPr>
        <sz val="5"/>
        <color rgb="FF000000"/>
        <rFont val="Calibri"/>
        <family val="2"/>
        <scheme val="minor"/>
      </rPr>
      <t xml:space="preserve">O </t>
    </r>
    <r>
      <rPr>
        <i/>
        <sz val="8"/>
        <color rgb="FF000000"/>
        <rFont val="Calibri"/>
        <family val="2"/>
        <scheme val="minor"/>
      </rPr>
      <t>× DoseM</t>
    </r>
    <r>
      <rPr>
        <sz val="5"/>
        <color rgb="FF000000"/>
        <rFont val="Calibri"/>
        <family val="2"/>
        <scheme val="minor"/>
      </rPr>
      <t xml:space="preserve">MAX </t>
    </r>
    <r>
      <rPr>
        <i/>
        <sz val="8"/>
        <color rgb="FF000000"/>
        <rFont val="Calibri"/>
        <family val="2"/>
        <scheme val="minor"/>
      </rPr>
      <t>× BW</t>
    </r>
    <r>
      <rPr>
        <sz val="5"/>
        <color rgb="FF000000"/>
        <rFont val="Calibri"/>
        <family val="2"/>
        <scheme val="minor"/>
      </rPr>
      <t xml:space="preserve">M </t>
    </r>
    <r>
      <rPr>
        <i/>
        <sz val="8"/>
        <color rgb="FF000000"/>
        <rFont val="Calibri"/>
        <family val="2"/>
        <scheme val="minor"/>
      </rPr>
      <t>× UF / BW</t>
    </r>
  </si>
  <si>
    <r>
      <t>SysD</t>
    </r>
    <r>
      <rPr>
        <sz val="5"/>
        <color rgb="FF000000"/>
        <rFont val="Calibri"/>
        <family val="2"/>
        <scheme val="minor"/>
      </rPr>
      <t xml:space="preserve">TWA </t>
    </r>
    <r>
      <rPr>
        <i/>
        <sz val="8"/>
        <color rgb="FF000000"/>
        <rFont val="Calibri"/>
        <family val="2"/>
        <scheme val="minor"/>
      </rPr>
      <t>= SolC × Dose</t>
    </r>
    <r>
      <rPr>
        <sz val="5"/>
        <color rgb="FF000000"/>
        <rFont val="Calibri"/>
        <family val="2"/>
        <scheme val="minor"/>
      </rPr>
      <t xml:space="preserve">Mbw </t>
    </r>
    <r>
      <rPr>
        <i/>
        <sz val="8"/>
        <color rgb="FF000000"/>
        <rFont val="Calibri"/>
        <family val="2"/>
        <scheme val="minor"/>
      </rPr>
      <t>× T½ × IR × Abs</t>
    </r>
    <r>
      <rPr>
        <sz val="5"/>
        <color rgb="FF000000"/>
        <rFont val="Calibri"/>
        <family val="2"/>
        <scheme val="minor"/>
      </rPr>
      <t xml:space="preserve">O </t>
    </r>
    <r>
      <rPr>
        <i/>
        <sz val="8"/>
        <color rgb="FF000000"/>
        <rFont val="Calibri"/>
        <family val="2"/>
        <scheme val="minor"/>
      </rPr>
      <t>/ BW</t>
    </r>
  </si>
  <si>
    <t>chemical-specifc data to be used, as no meaningful default can be given</t>
  </si>
  <si>
    <t>Approach 2:</t>
  </si>
  <si>
    <t>no-observed-adverse-effect-level</t>
  </si>
  <si>
    <t>default 100, see guidelines p11, p12</t>
  </si>
  <si>
    <t>Approach 1:</t>
  </si>
  <si>
    <t>net mouthed</t>
  </si>
  <si>
    <t>size of the net</t>
  </si>
  <si>
    <t>volume of washing water</t>
  </si>
  <si>
    <t>averaging time</t>
  </si>
  <si>
    <t>6.1 Treating nets with insecticide</t>
  </si>
  <si>
    <t>Dermal exposure from preparation of the dipping solution, solid formulations</t>
  </si>
  <si>
    <t>BOX A1</t>
  </si>
  <si>
    <t>BOX A2</t>
  </si>
  <si>
    <t>BOX A3</t>
  </si>
  <si>
    <t>BOX A4</t>
  </si>
  <si>
    <t>BOX A5</t>
  </si>
  <si>
    <t>BOX A6</t>
  </si>
  <si>
    <r>
      <t xml:space="preserve">µg kgbw </t>
    </r>
    <r>
      <rPr>
        <b/>
        <vertAlign val="superscript"/>
        <sz val="11"/>
        <color rgb="FF000000"/>
        <rFont val="Calibri"/>
        <family val="2"/>
        <scheme val="minor"/>
      </rPr>
      <t>-1</t>
    </r>
  </si>
  <si>
    <t>Dermal exposure from preparation of the dipping solution, liquid formulations</t>
  </si>
  <si>
    <t>Dermal exposure during the dipping of nets (guideline scenario)</t>
  </si>
  <si>
    <t>Dermal exposure during the dipping of nets (lax standard scenario)</t>
  </si>
  <si>
    <t>Oral exposure from hand-to-mouth transfer during dipping (lax standard scenario)</t>
  </si>
  <si>
    <t>Exposure during professional dipping of nets (guideline scenario)</t>
  </si>
  <si>
    <t>Box A1</t>
  </si>
  <si>
    <t>unit exposure for solid formulations, mg/kg active ingredient handled.</t>
  </si>
  <si>
    <t>mg/kg</t>
  </si>
  <si>
    <t>PPE</t>
  </si>
  <si>
    <t>PPE efficacy</t>
  </si>
  <si>
    <t>EF</t>
  </si>
  <si>
    <t xml:space="preserve">exposure frequency </t>
  </si>
  <si>
    <t>4 times/year</t>
  </si>
  <si>
    <t>times/yr</t>
  </si>
  <si>
    <t>Box A2</t>
  </si>
  <si>
    <r>
      <t xml:space="preserve">UE </t>
    </r>
    <r>
      <rPr>
        <i/>
        <vertAlign val="subscript"/>
        <sz val="11"/>
        <color theme="1"/>
        <rFont val="Calibri"/>
        <family val="2"/>
        <scheme val="minor"/>
      </rPr>
      <t>liq</t>
    </r>
  </si>
  <si>
    <r>
      <t xml:space="preserve">UE </t>
    </r>
    <r>
      <rPr>
        <i/>
        <vertAlign val="subscript"/>
        <sz val="11"/>
        <color theme="1"/>
        <rFont val="Calibri"/>
        <family val="2"/>
        <scheme val="minor"/>
      </rPr>
      <t>solid</t>
    </r>
  </si>
  <si>
    <t>Box A3</t>
  </si>
  <si>
    <t>NoD</t>
  </si>
  <si>
    <t>NoDD</t>
  </si>
  <si>
    <r>
      <t xml:space="preserve">C </t>
    </r>
    <r>
      <rPr>
        <i/>
        <vertAlign val="subscript"/>
        <sz val="11"/>
        <color theme="1"/>
        <rFont val="Calibri"/>
        <family val="2"/>
        <scheme val="minor"/>
      </rPr>
      <t>dip</t>
    </r>
  </si>
  <si>
    <t xml:space="preserve">number of dippings per year </t>
  </si>
  <si>
    <t xml:space="preserve">number of dippings per day </t>
  </si>
  <si>
    <t>concentration of insecticide in the dipping solution</t>
  </si>
  <si>
    <t>mg/mL</t>
  </si>
  <si>
    <t>from product label and appropriate dilution</t>
  </si>
  <si>
    <t>default 5 nets, 4 times a year = 20</t>
  </si>
  <si>
    <t>Unit exposure for liquid formulations</t>
  </si>
  <si>
    <t>ML</t>
  </si>
  <si>
    <t xml:space="preserve">amount of insecticide active ingredient mixed and loaded per day (kg) </t>
  </si>
  <si>
    <t>5 nets × amount a.i./net</t>
  </si>
  <si>
    <t>Box A4</t>
  </si>
  <si>
    <t>none</t>
  </si>
  <si>
    <t>Box A5</t>
  </si>
  <si>
    <t>FHM</t>
  </si>
  <si>
    <t>Fraction hand mouthed</t>
  </si>
  <si>
    <t>default 0.164</t>
  </si>
  <si>
    <t>Box A6</t>
  </si>
  <si>
    <t>default 5 nets</t>
  </si>
  <si>
    <t>kg</t>
  </si>
  <si>
    <t>professional dipping</t>
  </si>
  <si>
    <t>default 20 × 20 × 2 = 800</t>
  </si>
  <si>
    <t>default 20</t>
  </si>
  <si>
    <t>Total dose from treating nets (non-professionals)</t>
  </si>
  <si>
    <t>SOLID</t>
  </si>
  <si>
    <t>LIQUID</t>
  </si>
  <si>
    <t>formulation [solid, liquid]</t>
  </si>
  <si>
    <t>solid</t>
  </si>
  <si>
    <t>&lt;&lt; select formulation</t>
  </si>
  <si>
    <t>lax scenario</t>
  </si>
  <si>
    <t>PPE efficacy - guideline scenario</t>
  </si>
  <si>
    <t>PPE efficacy - lax scenario</t>
  </si>
  <si>
    <t>(see Table A1) × number of daily operation: 5 nets × amount a.i./net; empty for solids</t>
  </si>
  <si>
    <t>Default 9.7 for WP, 0.07 for WG, 0.04 for WSB, 0 for dose tablets; empty for liquids</t>
  </si>
  <si>
    <t>Annex A: RISK ASSESSMENT OF THE CONVENTIONAL TREATMENT OF NETS WITH INSECTICIDES</t>
  </si>
  <si>
    <t>default 25%</t>
  </si>
  <si>
    <t>default 20 washes per 3 years</t>
  </si>
  <si>
    <t>default 5 washes per day</t>
  </si>
  <si>
    <t>default adult 36.7 mL</t>
  </si>
  <si>
    <t>default child 17.6 mL</t>
  </si>
  <si>
    <t>default 4000 mL</t>
  </si>
  <si>
    <t>default 3.98</t>
  </si>
  <si>
    <r>
      <t>Total dose from treating nets (</t>
    </r>
    <r>
      <rPr>
        <b/>
        <strike/>
        <sz val="11"/>
        <color theme="0"/>
        <rFont val="Calibri"/>
        <family val="2"/>
        <scheme val="minor"/>
      </rPr>
      <t>non-</t>
    </r>
    <r>
      <rPr>
        <b/>
        <sz val="11"/>
        <color theme="0"/>
        <rFont val="Calibri"/>
        <family val="2"/>
        <scheme val="minor"/>
      </rPr>
      <t>professionals)</t>
    </r>
  </si>
  <si>
    <r>
      <t>NOAEL</t>
    </r>
    <r>
      <rPr>
        <i/>
        <vertAlign val="subscript"/>
        <sz val="11"/>
        <color theme="1"/>
        <rFont val="Calibri"/>
        <family val="2"/>
        <scheme val="minor"/>
      </rPr>
      <t>ac</t>
    </r>
  </si>
  <si>
    <t>acute no-observed-adverse-effect-level</t>
  </si>
  <si>
    <r>
      <t>Uf</t>
    </r>
    <r>
      <rPr>
        <i/>
        <vertAlign val="subscript"/>
        <sz val="11"/>
        <color theme="1"/>
        <rFont val="Calibri"/>
        <family val="2"/>
        <scheme val="minor"/>
      </rPr>
      <t>ac</t>
    </r>
  </si>
  <si>
    <t>uncertainty factor - acute</t>
  </si>
  <si>
    <t>default, 0.0014 m2</t>
  </si>
  <si>
    <t>default 0.57</t>
  </si>
  <si>
    <t>no. of washes per net per year</t>
  </si>
  <si>
    <t>no. of nets washed/day</t>
  </si>
  <si>
    <t>ingestion rate of milk</t>
  </si>
  <si>
    <t>Calculated as NoN x Concentraion of ai on the net * SN. Is that ok?</t>
  </si>
  <si>
    <r>
      <t>loading of a liquid pesticide formulation (no gloves used)</t>
    </r>
    <r>
      <rPr>
        <b/>
        <sz val="7"/>
        <color rgb="FF000000"/>
        <rFont val="Calibri"/>
        <family val="2"/>
        <scheme val="minor"/>
      </rPr>
      <t>a</t>
    </r>
  </si>
  <si>
    <t xml:space="preserve">Size of container and diameter of opening </t>
  </si>
  <si>
    <t>Contamination of hands
(mL/operation)</t>
  </si>
  <si>
    <t xml:space="preserve">1 litre, any closure </t>
  </si>
  <si>
    <t xml:space="preserve">2 litres, any closure </t>
  </si>
  <si>
    <t xml:space="preserve">5 litres, narrow closure </t>
  </si>
  <si>
    <t xml:space="preserve">5 litres, 45 mm or 63 mm closure </t>
  </si>
  <si>
    <t xml:space="preserve">10 litres, narrow closure </t>
  </si>
  <si>
    <t xml:space="preserve">10 litres, 45 mm closure </t>
  </si>
  <si>
    <t xml:space="preserve">10 litres, 63 mm closure </t>
  </si>
  <si>
    <t xml:space="preserve">20 litres, narrow closure </t>
  </si>
  <si>
    <t xml:space="preserve">20 litres, 63 mm closure </t>
  </si>
  <si>
    <t>Source:</t>
  </si>
  <si>
    <t>CF</t>
  </si>
  <si>
    <t>a.i. content</t>
  </si>
  <si>
    <t>g/kg for solid, mg/mL for liquid</t>
  </si>
  <si>
    <t>Container size (for LIQUID formulations)</t>
  </si>
  <si>
    <t>Table A1. Default values for potential hand contamination (mL/operation) during mixing and</t>
  </si>
  <si>
    <t>&lt;&lt; select container size</t>
  </si>
  <si>
    <t>Calculated as NoN x value from Table A1 * CF (concentration); CF was added to the list of inputs. Ok?</t>
  </si>
  <si>
    <t xml:space="preserve"> for formulation:</t>
  </si>
  <si>
    <t>Corrected as NoDD x Concentraion of ai on the net * SN.</t>
  </si>
  <si>
    <t>default adult 8.2 mL</t>
  </si>
  <si>
    <t>default child 4.3 mL</t>
  </si>
  <si>
    <t xml:space="preserve">Weight (kg) </t>
  </si>
  <si>
    <t>mg kgbw ⁻¹ d⁻¹</t>
  </si>
  <si>
    <t>see section 3.2.1</t>
  </si>
  <si>
    <t>default 365 days</t>
  </si>
  <si>
    <t>see section 3.2.2</t>
  </si>
  <si>
    <t>default 0.66 kg/day</t>
  </si>
  <si>
    <t>default guideline scenario 0.1</t>
  </si>
  <si>
    <t>default lax standard scenario 1.0</t>
  </si>
  <si>
    <t>default 0.1</t>
  </si>
  <si>
    <r>
      <t xml:space="preserve"> kgbw </t>
    </r>
    <r>
      <rPr>
        <b/>
        <vertAlign val="superscript"/>
        <sz val="11"/>
        <color rgb="FF000000"/>
        <rFont val="Calibri"/>
        <family val="2"/>
        <scheme val="minor"/>
      </rPr>
      <t>⁻¹</t>
    </r>
    <r>
      <rPr>
        <b/>
        <sz val="11"/>
        <color rgb="FF000000"/>
        <rFont val="Calibri"/>
        <family val="2"/>
        <scheme val="minor"/>
      </rPr>
      <t xml:space="preserve"> d</t>
    </r>
    <r>
      <rPr>
        <b/>
        <vertAlign val="superscript"/>
        <sz val="11"/>
        <color rgb="FF000000"/>
        <rFont val="Calibri"/>
        <family val="2"/>
        <scheme val="minor"/>
      </rPr>
      <t>⁻¹</t>
    </r>
  </si>
  <si>
    <t>µg</t>
  </si>
  <si>
    <t>p. 17 note</t>
  </si>
  <si>
    <t>&lt;&lt; selected from sheet 2.1</t>
  </si>
  <si>
    <r>
      <t xml:space="preserve"> kgbw </t>
    </r>
    <r>
      <rPr>
        <i/>
        <vertAlign val="superscript"/>
        <sz val="11"/>
        <color rgb="FF000000"/>
        <rFont val="Calibri"/>
        <family val="2"/>
        <scheme val="minor"/>
      </rPr>
      <t>⁻¹</t>
    </r>
    <r>
      <rPr>
        <i/>
        <sz val="11"/>
        <color rgb="FF000000"/>
        <rFont val="Calibri"/>
        <family val="2"/>
        <scheme val="minor"/>
      </rPr>
      <t xml:space="preserve"> d</t>
    </r>
    <r>
      <rPr>
        <i/>
        <vertAlign val="superscript"/>
        <sz val="11"/>
        <color rgb="FF000000"/>
        <rFont val="Calibri"/>
        <family val="2"/>
        <scheme val="minor"/>
      </rPr>
      <t>⁻¹</t>
    </r>
  </si>
  <si>
    <r>
      <t xml:space="preserve"> kgbw </t>
    </r>
    <r>
      <rPr>
        <i/>
        <vertAlign val="superscript"/>
        <sz val="11"/>
        <color rgb="FF000000"/>
        <rFont val="Calibri"/>
        <family val="2"/>
        <scheme val="minor"/>
      </rPr>
      <t>⁻¹</t>
    </r>
  </si>
  <si>
    <t>base unit</t>
  </si>
  <si>
    <r>
      <t>C</t>
    </r>
    <r>
      <rPr>
        <sz val="6"/>
        <color rgb="FF000000"/>
        <rFont val="Calibri"/>
        <family val="2"/>
        <scheme val="minor"/>
      </rPr>
      <t>air</t>
    </r>
    <r>
      <rPr>
        <sz val="10"/>
        <color rgb="FF000000"/>
        <rFont val="Calibri"/>
        <family val="2"/>
        <scheme val="minor"/>
      </rPr>
      <t xml:space="preserve"> = 1.01 x 10</t>
    </r>
    <r>
      <rPr>
        <sz val="6"/>
        <color rgb="FF000000"/>
        <rFont val="Calibri"/>
        <family val="2"/>
        <scheme val="minor"/>
      </rPr>
      <t xml:space="preserve">-3 </t>
    </r>
    <r>
      <rPr>
        <sz val="10"/>
        <color rgb="FF000000"/>
        <rFont val="Calibri"/>
        <family val="2"/>
        <scheme val="minor"/>
      </rPr>
      <t>× SC × VP</t>
    </r>
    <r>
      <rPr>
        <i/>
        <sz val="8"/>
        <color rgb="FF000000"/>
        <rFont val="Calibri"/>
        <family val="2"/>
        <scheme val="minor"/>
      </rPr>
      <t xml:space="preserve"> [in ug/,3]</t>
    </r>
  </si>
  <si>
    <r>
      <t xml:space="preserve"> /m</t>
    </r>
    <r>
      <rPr>
        <i/>
        <vertAlign val="superscript"/>
        <sz val="11"/>
        <color rgb="FF000000"/>
        <rFont val="Calibri"/>
        <family val="2"/>
        <scheme val="minor"/>
      </rPr>
      <t>3</t>
    </r>
  </si>
  <si>
    <t>fixed unit</t>
  </si>
  <si>
    <t>default unit</t>
  </si>
  <si>
    <t>mg kgbw ⁻¹</t>
  </si>
  <si>
    <t>default 100%; Note that it is strongly advised to provide a case specific value. See Section 3.1.3 for details.</t>
  </si>
  <si>
    <t>conversion</t>
  </si>
  <si>
    <t>mg</t>
  </si>
  <si>
    <t>ITN 2nd ed 2019 9789241513586-eng.pdf</t>
  </si>
  <si>
    <t>https://www.who.int/whopes/resources/9789241513586/en/</t>
  </si>
  <si>
    <t>data entry (with default)</t>
  </si>
  <si>
    <t>data entry (selection box)</t>
  </si>
  <si>
    <t>data entry (no default)</t>
  </si>
  <si>
    <t>Explanation</t>
  </si>
  <si>
    <t>default 0.361 for lipid soluble and 2.02 for water soluble insecticides</t>
  </si>
  <si>
    <t>&lt;&lt; select yes if inhalation should be considered!</t>
  </si>
  <si>
    <t>SC</t>
  </si>
  <si>
    <t>Box 8 only relevant when Exposure cannot be calculated via Box 7</t>
  </si>
  <si>
    <t>enter data for one approach only</t>
  </si>
  <si>
    <t>Note: Approach 1 results take precedence over Approach 2 in case both are filled out.</t>
  </si>
  <si>
    <t>11/04/2019-v7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</si>
</sst>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
  </numFmts>
  <fonts count="72">
    <font>
      <sz val="11"/>
      <color theme="1"/>
      <name val="Calibri"/>
      <family val="2"/>
      <scheme val="minor"/>
    </font>
    <font>
      <sz val="10"/>
      <name val="Arial"/>
      <family val="2"/>
    </font>
    <font>
      <sz val="11"/>
      <name val="Calibri"/>
      <family val="2"/>
      <scheme val="minor"/>
    </font>
    <font>
      <b/>
      <sz val="14"/>
      <name val="Tahoma"/>
      <family val="2"/>
    </font>
    <font>
      <b/>
      <sz val="12"/>
      <name val="Tahoma"/>
      <family val="2"/>
    </font>
    <font>
      <b/>
      <u/>
      <sz val="8"/>
      <color indexed="56"/>
      <name val="Tahoma"/>
      <family val="2"/>
    </font>
    <font>
      <b/>
      <sz val="10"/>
      <color indexed="56"/>
      <name val="Wingdings"/>
      <charset val="2"/>
    </font>
    <font>
      <b/>
      <sz val="10"/>
      <name val="Tahoma"/>
      <family val="2"/>
    </font>
    <font>
      <b/>
      <u/>
      <sz val="10"/>
      <color indexed="56"/>
      <name val="Tahoma"/>
      <family val="2"/>
    </font>
    <font>
      <b/>
      <u/>
      <sz val="9"/>
      <color indexed="56"/>
      <name val="Tahoma"/>
      <family val="2"/>
    </font>
    <font>
      <sz val="8"/>
      <color indexed="56"/>
      <name val="Tahoma"/>
      <family val="2"/>
    </font>
    <font>
      <sz val="8"/>
      <name val="Tahoma"/>
      <family val="2"/>
    </font>
    <font>
      <b/>
      <sz val="9"/>
      <name val="Tahoma"/>
      <family val="2"/>
    </font>
    <font>
      <b/>
      <sz val="8"/>
      <name val="Tahoma"/>
      <family val="2"/>
    </font>
    <font>
      <sz val="11"/>
      <color theme="1"/>
      <name val="Calibri"/>
      <family val="2"/>
      <scheme val="minor"/>
    </font>
    <font>
      <b/>
      <sz val="11"/>
      <color theme="1"/>
      <name val="Calibri"/>
      <family val="2"/>
      <scheme val="minor"/>
    </font>
    <font>
      <sz val="11"/>
      <color rgb="FF000000"/>
      <name val="Calibri"/>
      <family val="2"/>
      <scheme val="minor"/>
    </font>
    <font>
      <vertAlign val="subscript"/>
      <sz val="11"/>
      <color theme="1"/>
      <name val="Calibri"/>
      <family val="2"/>
      <scheme val="minor"/>
    </font>
    <font>
      <sz val="11"/>
      <color rgb="FF0070C0"/>
      <name val="Calibri"/>
      <family val="2"/>
      <scheme val="minor"/>
    </font>
    <font>
      <b/>
      <i/>
      <sz val="11"/>
      <color theme="1"/>
      <name val="Calibri"/>
      <family val="2"/>
      <scheme val="minor"/>
    </font>
    <font>
      <i/>
      <sz val="11"/>
      <color rgb="FF000000"/>
      <name val="Calibri"/>
      <family val="2"/>
      <scheme val="minor"/>
    </font>
    <font>
      <b/>
      <sz val="11"/>
      <color rgb="FF000000"/>
      <name val="Calibri"/>
      <family val="2"/>
      <scheme val="minor"/>
    </font>
    <font>
      <b/>
      <vertAlign val="superscript"/>
      <sz val="11"/>
      <color rgb="FF000000"/>
      <name val="Calibri"/>
      <family val="2"/>
      <scheme val="minor"/>
    </font>
    <font>
      <i/>
      <vertAlign val="subscript"/>
      <sz val="11"/>
      <color rgb="FF000000"/>
      <name val="Calibri"/>
      <family val="2"/>
      <scheme val="minor"/>
    </font>
    <font>
      <b/>
      <sz val="11"/>
      <color rgb="FF0070C0"/>
      <name val="Calibri"/>
      <family val="2"/>
      <scheme val="minor"/>
    </font>
    <font>
      <b/>
      <sz val="10"/>
      <color rgb="FF002060"/>
      <name val="Verdana-Bold"/>
    </font>
    <font>
      <b/>
      <sz val="11"/>
      <color rgb="FF002060"/>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6"/>
      <color theme="1"/>
      <name val="Calibri"/>
      <family val="2"/>
      <scheme val="minor"/>
    </font>
    <font>
      <b/>
      <vertAlign val="superscript"/>
      <sz val="11"/>
      <color theme="1"/>
      <name val="Calibri"/>
      <family val="2"/>
      <scheme val="minor"/>
    </font>
    <font>
      <sz val="11"/>
      <color rgb="FF9C0006"/>
      <name val="Calibri"/>
      <family val="2"/>
      <scheme val="minor"/>
    </font>
    <font>
      <i/>
      <sz val="11"/>
      <color theme="1"/>
      <name val="Calibri"/>
      <family val="2"/>
      <scheme val="minor"/>
    </font>
    <font>
      <i/>
      <vertAlign val="subscript"/>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i/>
      <sz val="10"/>
      <color rgb="FF000000"/>
      <name val="Calibri"/>
      <family val="2"/>
      <scheme val="minor"/>
    </font>
    <font>
      <vertAlign val="superscript"/>
      <sz val="10"/>
      <color theme="1"/>
      <name val="Calibri"/>
      <family val="2"/>
      <scheme val="minor"/>
    </font>
    <font>
      <b/>
      <sz val="10"/>
      <color theme="1"/>
      <name val="Calibri"/>
      <family val="2"/>
      <scheme val="minor"/>
    </font>
    <font>
      <i/>
      <sz val="10"/>
      <color theme="1"/>
      <name val="Calibri"/>
      <family val="2"/>
      <scheme val="minor"/>
    </font>
    <font>
      <i/>
      <sz val="10"/>
      <name val="Calibri"/>
      <family val="2"/>
      <scheme val="minor"/>
    </font>
    <font>
      <i/>
      <sz val="10"/>
      <color rgb="FFFF0000"/>
      <name val="Calibri"/>
      <family val="2"/>
      <scheme val="minor"/>
    </font>
    <font>
      <b/>
      <i/>
      <sz val="11"/>
      <color rgb="FF7F7F7F"/>
      <name val="Calibri"/>
      <family val="2"/>
      <scheme val="minor"/>
    </font>
    <font>
      <b/>
      <sz val="10"/>
      <color rgb="FF002060"/>
      <name val="Calibri"/>
      <family val="2"/>
      <scheme val="minor"/>
    </font>
    <font>
      <i/>
      <sz val="8"/>
      <color rgb="FF000000"/>
      <name val="Calibri"/>
      <family val="2"/>
      <scheme val="minor"/>
    </font>
    <font>
      <sz val="6"/>
      <color rgb="FF000000"/>
      <name val="Calibri"/>
      <family val="2"/>
      <scheme val="minor"/>
    </font>
    <font>
      <sz val="5"/>
      <color rgb="FF000000"/>
      <name val="Calibri"/>
      <family val="2"/>
      <scheme val="minor"/>
    </font>
    <font>
      <sz val="8"/>
      <color rgb="FF000000"/>
      <name val="Calibri"/>
      <family val="2"/>
      <scheme val="minor"/>
    </font>
    <font>
      <b/>
      <i/>
      <sz val="8"/>
      <color rgb="FF000000"/>
      <name val="Calibri"/>
      <family val="2"/>
      <scheme val="minor"/>
    </font>
    <font>
      <sz val="11"/>
      <color rgb="FF006100"/>
      <name val="Calibri"/>
      <family val="2"/>
      <scheme val="minor"/>
    </font>
    <font>
      <sz val="10"/>
      <color rgb="FF000000"/>
      <name val="Verdana"/>
      <family val="2"/>
    </font>
    <font>
      <i/>
      <sz val="11"/>
      <color theme="4"/>
      <name val="Calibri"/>
      <family val="2"/>
      <scheme val="minor"/>
    </font>
    <font>
      <b/>
      <i/>
      <sz val="11"/>
      <color theme="2"/>
      <name val="Calibri"/>
      <family val="2"/>
      <scheme val="minor"/>
    </font>
    <font>
      <sz val="11"/>
      <color theme="2"/>
      <name val="Calibri"/>
      <family val="2"/>
      <scheme val="minor"/>
    </font>
    <font>
      <i/>
      <sz val="11"/>
      <color theme="2"/>
      <name val="Calibri"/>
      <family val="2"/>
      <scheme val="minor"/>
    </font>
    <font>
      <b/>
      <sz val="11"/>
      <color theme="2"/>
      <name val="Calibri"/>
      <family val="2"/>
      <scheme val="minor"/>
    </font>
    <font>
      <b/>
      <i/>
      <sz val="11"/>
      <color rgb="FF0070C0"/>
      <name val="Calibri"/>
      <family val="2"/>
      <scheme val="minor"/>
    </font>
    <font>
      <b/>
      <strike/>
      <sz val="11"/>
      <color theme="0"/>
      <name val="Calibri"/>
      <family val="2"/>
      <scheme val="minor"/>
    </font>
    <font>
      <u/>
      <sz val="11"/>
      <color theme="10"/>
      <name val="Calibri"/>
      <family val="2"/>
      <scheme val="minor"/>
    </font>
    <font>
      <i/>
      <sz val="11"/>
      <color rgb="FFFF0000"/>
      <name val="Calibri"/>
      <family val="2"/>
      <scheme val="minor"/>
    </font>
    <font>
      <b/>
      <sz val="7"/>
      <color rgb="FF000000"/>
      <name val="Calibri"/>
      <family val="2"/>
      <scheme val="minor"/>
    </font>
    <font>
      <sz val="10"/>
      <name val="Calibri"/>
      <family val="2"/>
      <scheme val="minor"/>
    </font>
    <font>
      <sz val="7"/>
      <color rgb="FF000000"/>
      <name val="Calibri"/>
      <family val="2"/>
      <scheme val="minor"/>
    </font>
    <font>
      <sz val="11"/>
      <color theme="0" tint="-4.9989318521683403E-2"/>
      <name val="Calibri"/>
      <family val="2"/>
      <scheme val="minor"/>
    </font>
    <font>
      <i/>
      <vertAlign val="superscript"/>
      <sz val="11"/>
      <color rgb="FF000000"/>
      <name val="Calibri"/>
      <family val="2"/>
      <scheme val="minor"/>
    </font>
    <font>
      <i/>
      <sz val="11"/>
      <color theme="1" tint="0.249977111117893"/>
      <name val="Calibri"/>
      <family val="2"/>
      <scheme val="minor"/>
    </font>
    <font>
      <b/>
      <sz val="11"/>
      <name val="Calibri"/>
      <family val="2"/>
      <scheme val="minor"/>
    </font>
  </fonts>
  <fills count="10">
    <fill>
      <patternFill patternType="none"/>
    </fill>
    <fill>
      <patternFill patternType="gray125"/>
    </fill>
    <fill>
      <patternFill patternType="solid">
        <fgColor rgb="FFF2F2F2"/>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C7CE"/>
      </patternFill>
    </fill>
    <fill>
      <patternFill patternType="solid">
        <fgColor theme="4"/>
        <bgColor indexed="64"/>
      </patternFill>
    </fill>
    <fill>
      <patternFill patternType="solid">
        <fgColor rgb="FFC6EFCE"/>
      </patternFill>
    </fill>
    <fill>
      <patternFill patternType="solid">
        <fgColor theme="8" tint="0.39994506668294322"/>
        <bgColor indexed="64"/>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7F7F7F"/>
      </left>
      <right style="thin">
        <color rgb="FF7F7F7F"/>
      </right>
      <top style="thin">
        <color rgb="FF7F7F7F"/>
      </top>
      <bottom style="medium">
        <color indexed="64"/>
      </bottom>
      <diagonal/>
    </border>
    <border>
      <left style="thin">
        <color rgb="FF7F7F7F"/>
      </left>
      <right style="thin">
        <color rgb="FF7F7F7F"/>
      </right>
      <top/>
      <bottom style="thin">
        <color rgb="FF7F7F7F"/>
      </bottom>
      <diagonal/>
    </border>
    <border>
      <left/>
      <right/>
      <top/>
      <bottom style="medium">
        <color indexed="64"/>
      </bottom>
      <diagonal/>
    </border>
    <border>
      <left style="thin">
        <color indexed="64"/>
      </left>
      <right style="thin">
        <color indexed="64"/>
      </right>
      <top/>
      <bottom/>
      <diagonal/>
    </border>
  </borders>
  <cellStyleXfs count="29">
    <xf numFmtId="0" fontId="0" fillId="0" borderId="0"/>
    <xf numFmtId="0" fontId="1" fillId="0" borderId="0"/>
    <xf numFmtId="0" fontId="3" fillId="0" borderId="0" applyFill="0" applyBorder="0">
      <alignment vertical="center"/>
    </xf>
    <xf numFmtId="0" fontId="4" fillId="0" borderId="0" applyFill="0" applyBorder="0">
      <alignment vertical="center"/>
    </xf>
    <xf numFmtId="0" fontId="5" fillId="0" borderId="0" applyFill="0" applyBorder="0">
      <alignment vertical="center"/>
    </xf>
    <xf numFmtId="0" fontId="6" fillId="0" borderId="0" applyFill="0" applyBorder="0">
      <alignment horizontal="center" vertical="center"/>
    </xf>
    <xf numFmtId="0" fontId="7" fillId="0" borderId="0" applyFill="0" applyBorder="0">
      <alignment vertical="center"/>
    </xf>
    <xf numFmtId="0" fontId="8" fillId="0" borderId="0" applyFill="0" applyBorder="0">
      <alignment vertical="center"/>
    </xf>
    <xf numFmtId="0" fontId="9" fillId="0" borderId="0" applyFill="0" applyBorder="0">
      <alignment vertical="center"/>
    </xf>
    <xf numFmtId="0" fontId="10" fillId="0" borderId="0" applyFill="0" applyBorder="0">
      <alignment vertical="center"/>
    </xf>
    <xf numFmtId="0" fontId="10" fillId="0" borderId="0" applyFill="0" applyBorder="0">
      <alignment vertical="center"/>
    </xf>
    <xf numFmtId="0" fontId="7" fillId="0" borderId="0" applyFill="0" applyBorder="0">
      <alignment vertical="center"/>
    </xf>
    <xf numFmtId="0" fontId="11" fillId="0" borderId="0" applyFill="0" applyBorder="0">
      <alignment vertical="center"/>
    </xf>
    <xf numFmtId="0" fontId="11" fillId="0" borderId="0" applyFill="0" applyBorder="0">
      <alignment vertical="center"/>
    </xf>
    <xf numFmtId="0" fontId="11" fillId="0" borderId="0" applyNumberFormat="0" applyFont="0" applyFill="0" applyBorder="0">
      <alignment horizontal="center" vertical="center"/>
      <protection locked="0"/>
    </xf>
    <xf numFmtId="0" fontId="6" fillId="0" borderId="0" applyFill="0" applyBorder="0">
      <alignment horizontal="center" vertical="center"/>
    </xf>
    <xf numFmtId="0" fontId="12" fillId="0" borderId="0" applyFill="0" applyBorder="0">
      <alignment vertical="center"/>
    </xf>
    <xf numFmtId="0" fontId="13" fillId="0" borderId="0" applyFill="0" applyBorder="0">
      <alignment vertical="center"/>
    </xf>
    <xf numFmtId="0" fontId="11" fillId="0" borderId="0" applyFill="0" applyBorder="0">
      <alignment vertical="center"/>
    </xf>
    <xf numFmtId="9" fontId="14" fillId="0" borderId="0" applyFont="0" applyFill="0" applyBorder="0" applyAlignment="0" applyProtection="0"/>
    <xf numFmtId="0" fontId="28" fillId="3" borderId="2" applyNumberFormat="0" applyAlignment="0">
      <protection locked="0"/>
    </xf>
    <xf numFmtId="0" fontId="29" fillId="2" borderId="2" applyNumberFormat="0" applyAlignment="0"/>
    <xf numFmtId="0" fontId="30" fillId="0" borderId="3" applyNumberFormat="0" applyFill="0" applyAlignment="0" applyProtection="0"/>
    <xf numFmtId="0" fontId="32" fillId="0" borderId="0" applyNumberFormat="0" applyFill="0" applyBorder="0" applyAlignment="0" applyProtection="0"/>
    <xf numFmtId="0" fontId="35" fillId="5" borderId="0" applyNumberFormat="0" applyBorder="0" applyAlignment="0" applyProtection="0"/>
    <xf numFmtId="0" fontId="54" fillId="7" borderId="0" applyNumberFormat="0" applyBorder="0" applyAlignment="0" applyProtection="0"/>
    <xf numFmtId="0" fontId="63" fillId="0" borderId="0" applyNumberFormat="0" applyFill="0" applyBorder="0" applyAlignment="0" applyProtection="0"/>
    <xf numFmtId="0" fontId="28" fillId="8" borderId="2" applyAlignment="0">
      <protection locked="0"/>
    </xf>
    <xf numFmtId="0" fontId="28" fillId="8" borderId="2" applyAlignment="0" applyProtection="0"/>
  </cellStyleXfs>
  <cellXfs count="127">
    <xf numFmtId="0" fontId="0" fillId="0" borderId="0" xfId="0"/>
    <xf numFmtId="0" fontId="16"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5" fillId="0" borderId="0" xfId="0" applyFont="1"/>
    <xf numFmtId="0" fontId="19" fillId="0" borderId="0" xfId="0" applyFont="1"/>
    <xf numFmtId="164" fontId="18" fillId="0" borderId="0" xfId="0" applyNumberFormat="1" applyFont="1"/>
    <xf numFmtId="0" fontId="25" fillId="0" borderId="0" xfId="0" applyFont="1"/>
    <xf numFmtId="0" fontId="26" fillId="0" borderId="0" xfId="0" applyFont="1"/>
    <xf numFmtId="0" fontId="24" fillId="0" borderId="0" xfId="0" applyFont="1" applyAlignment="1">
      <alignment vertical="center" wrapText="1"/>
    </xf>
    <xf numFmtId="0" fontId="20" fillId="0" borderId="0" xfId="0" applyFont="1" applyAlignment="1">
      <alignment vertical="center"/>
    </xf>
    <xf numFmtId="0" fontId="24" fillId="0" borderId="0" xfId="0" applyFont="1" applyAlignment="1">
      <alignment wrapText="1"/>
    </xf>
    <xf numFmtId="0" fontId="27" fillId="0" borderId="0" xfId="0" applyFont="1"/>
    <xf numFmtId="0" fontId="16" fillId="0" borderId="0" xfId="0" applyFont="1" applyAlignment="1">
      <alignment horizontal="right" vertical="center" indent="1"/>
    </xf>
    <xf numFmtId="165" fontId="0" fillId="0" borderId="0" xfId="19" applyNumberFormat="1" applyFont="1"/>
    <xf numFmtId="0" fontId="33" fillId="0" borderId="0" xfId="0" applyFont="1"/>
    <xf numFmtId="165" fontId="29" fillId="2" borderId="2" xfId="21" applyNumberFormat="1"/>
    <xf numFmtId="0" fontId="32" fillId="0" borderId="0" xfId="23"/>
    <xf numFmtId="0" fontId="0" fillId="0" borderId="0" xfId="0" applyAlignment="1">
      <alignment wrapText="1"/>
    </xf>
    <xf numFmtId="0" fontId="2" fillId="0" borderId="0" xfId="0" applyFont="1"/>
    <xf numFmtId="9" fontId="28" fillId="3" borderId="2" xfId="20" applyNumberFormat="1" applyAlignment="1">
      <alignment wrapText="1"/>
      <protection locked="0"/>
    </xf>
    <xf numFmtId="167" fontId="29" fillId="2" borderId="2" xfId="21" applyNumberFormat="1" applyAlignment="1">
      <alignment wrapText="1"/>
    </xf>
    <xf numFmtId="0" fontId="15" fillId="0" borderId="0" xfId="0" quotePrefix="1" applyFont="1"/>
    <xf numFmtId="0" fontId="36" fillId="0" borderId="0" xfId="0" applyFont="1"/>
    <xf numFmtId="0" fontId="21" fillId="0" borderId="0" xfId="0" applyFont="1"/>
    <xf numFmtId="0" fontId="0" fillId="0" borderId="0" xfId="0" quotePrefix="1"/>
    <xf numFmtId="0" fontId="38" fillId="0" borderId="0" xfId="0" applyFont="1"/>
    <xf numFmtId="0" fontId="38" fillId="0" borderId="1" xfId="0" applyFont="1" applyBorder="1" applyAlignment="1">
      <alignment vertical="center" wrapText="1"/>
    </xf>
    <xf numFmtId="0" fontId="39" fillId="0" borderId="1" xfId="0" applyFont="1" applyBorder="1" applyAlignment="1">
      <alignment vertical="center" wrapText="1"/>
    </xf>
    <xf numFmtId="0" fontId="40" fillId="0" borderId="0" xfId="0" applyFont="1"/>
    <xf numFmtId="0" fontId="39" fillId="0" borderId="0" xfId="0" applyFont="1"/>
    <xf numFmtId="0" fontId="39" fillId="4" borderId="1" xfId="0" applyFont="1" applyFill="1" applyBorder="1" applyAlignment="1">
      <alignment vertical="center" wrapText="1"/>
    </xf>
    <xf numFmtId="0" fontId="38" fillId="0" borderId="0" xfId="0" applyFont="1" applyAlignment="1">
      <alignment vertical="center" wrapText="1"/>
    </xf>
    <xf numFmtId="0" fontId="15" fillId="0" borderId="0" xfId="0" applyFont="1" applyAlignment="1">
      <alignment horizontal="right"/>
    </xf>
    <xf numFmtId="0" fontId="21" fillId="0" borderId="0" xfId="0" applyFont="1" applyAlignment="1">
      <alignment horizontal="right" vertical="center" indent="1"/>
    </xf>
    <xf numFmtId="0" fontId="24" fillId="0" borderId="0" xfId="0" applyFont="1" applyAlignment="1">
      <alignment horizontal="right" wrapText="1"/>
    </xf>
    <xf numFmtId="0" fontId="24" fillId="0" borderId="0" xfId="0" applyFont="1" applyAlignment="1">
      <alignment horizontal="right" vertical="center" wrapText="1"/>
    </xf>
    <xf numFmtId="0" fontId="44" fillId="0" borderId="0" xfId="0" applyFont="1"/>
    <xf numFmtId="0" fontId="45" fillId="0" borderId="0" xfId="0" applyFont="1"/>
    <xf numFmtId="0" fontId="46" fillId="0" borderId="0" xfId="0" applyFont="1"/>
    <xf numFmtId="0" fontId="31" fillId="6" borderId="0" xfId="0" applyFont="1" applyFill="1" applyAlignment="1">
      <alignment wrapText="1"/>
    </xf>
    <xf numFmtId="0" fontId="47" fillId="0" borderId="0" xfId="23" applyFont="1"/>
    <xf numFmtId="165" fontId="28" fillId="3" borderId="2" xfId="20" applyNumberFormat="1">
      <protection locked="0"/>
    </xf>
    <xf numFmtId="0" fontId="28" fillId="3" borderId="2" xfId="20">
      <protection locked="0"/>
    </xf>
    <xf numFmtId="0" fontId="41" fillId="0" borderId="0" xfId="0" applyFont="1"/>
    <xf numFmtId="0" fontId="40" fillId="0" borderId="1" xfId="0" applyFont="1" applyBorder="1"/>
    <xf numFmtId="0" fontId="43" fillId="0" borderId="0" xfId="0" applyFont="1"/>
    <xf numFmtId="14" fontId="0" fillId="0" borderId="0" xfId="0" applyNumberFormat="1"/>
    <xf numFmtId="0" fontId="15" fillId="0" borderId="6" xfId="0" applyFont="1"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21" fillId="0" borderId="0" xfId="0" applyFont="1" applyAlignment="1">
      <alignment horizontal="left" vertical="top" wrapText="1"/>
    </xf>
    <xf numFmtId="0" fontId="16" fillId="0" borderId="0" xfId="0" applyFont="1" applyAlignment="1">
      <alignment horizontal="left" vertical="top" wrapText="1"/>
    </xf>
    <xf numFmtId="0" fontId="29" fillId="2" borderId="2" xfId="21" applyAlignment="1">
      <alignment horizontal="left" vertical="top"/>
    </xf>
    <xf numFmtId="0" fontId="30" fillId="0" borderId="3" xfId="22" applyAlignment="1">
      <alignment horizontal="left" vertical="top"/>
    </xf>
    <xf numFmtId="0" fontId="14" fillId="0" borderId="0" xfId="0" applyFont="1"/>
    <xf numFmtId="0" fontId="48" fillId="0" borderId="0" xfId="0" applyFont="1"/>
    <xf numFmtId="0" fontId="49" fillId="0" borderId="0" xfId="0" applyFont="1"/>
    <xf numFmtId="164" fontId="29" fillId="2" borderId="2" xfId="21" applyNumberFormat="1"/>
    <xf numFmtId="0" fontId="53" fillId="0" borderId="0" xfId="0" applyFont="1"/>
    <xf numFmtId="0" fontId="29" fillId="2" borderId="2" xfId="21"/>
    <xf numFmtId="0" fontId="29" fillId="2" borderId="2" xfId="21" applyAlignment="1">
      <alignment horizontal="right"/>
    </xf>
    <xf numFmtId="0" fontId="29" fillId="2" borderId="4" xfId="21" applyBorder="1" applyAlignment="1">
      <alignment horizontal="right"/>
    </xf>
    <xf numFmtId="0" fontId="49" fillId="0" borderId="0" xfId="0" applyFont="1" applyAlignment="1">
      <alignment vertical="center"/>
    </xf>
    <xf numFmtId="164" fontId="14" fillId="0" borderId="0" xfId="0" applyNumberFormat="1" applyFont="1"/>
    <xf numFmtId="0" fontId="39" fillId="0" borderId="0" xfId="0" applyFont="1" applyAlignment="1">
      <alignment vertical="center"/>
    </xf>
    <xf numFmtId="0" fontId="52" fillId="0" borderId="0" xfId="0" applyFont="1" applyAlignment="1">
      <alignment vertical="center"/>
    </xf>
    <xf numFmtId="0" fontId="39" fillId="4" borderId="7" xfId="0" applyFont="1" applyFill="1" applyBorder="1" applyAlignment="1">
      <alignment vertical="center" wrapText="1"/>
    </xf>
    <xf numFmtId="0" fontId="35" fillId="0" borderId="0" xfId="24" applyFill="1"/>
    <xf numFmtId="0" fontId="35" fillId="5" borderId="0" xfId="24"/>
    <xf numFmtId="0" fontId="55" fillId="0" borderId="0" xfId="0" applyFont="1"/>
    <xf numFmtId="0" fontId="24" fillId="0" borderId="0" xfId="0" applyFont="1"/>
    <xf numFmtId="0" fontId="24" fillId="0" borderId="0" xfId="0" applyFont="1" applyAlignment="1">
      <alignment vertical="center"/>
    </xf>
    <xf numFmtId="167" fontId="14" fillId="0" borderId="0" xfId="0" applyNumberFormat="1" applyFont="1"/>
    <xf numFmtId="0" fontId="56" fillId="0" borderId="0" xfId="0" applyFont="1"/>
    <xf numFmtId="0" fontId="21" fillId="0" borderId="0" xfId="0" applyFont="1" applyAlignment="1">
      <alignment horizontal="right" vertical="center" wrapText="1"/>
    </xf>
    <xf numFmtId="0" fontId="36" fillId="0" borderId="0" xfId="0" applyFont="1" applyAlignment="1">
      <alignment horizontal="center"/>
    </xf>
    <xf numFmtId="0" fontId="57" fillId="6" borderId="0" xfId="0" applyFont="1" applyFill="1"/>
    <xf numFmtId="0" fontId="58" fillId="6" borderId="0" xfId="0" applyFont="1" applyFill="1"/>
    <xf numFmtId="0" fontId="59" fillId="6" borderId="0" xfId="0" applyFont="1" applyFill="1"/>
    <xf numFmtId="0" fontId="60" fillId="6" borderId="0" xfId="0" applyFont="1" applyFill="1"/>
    <xf numFmtId="0" fontId="61" fillId="0" borderId="0" xfId="0" applyFont="1"/>
    <xf numFmtId="0" fontId="63" fillId="0" borderId="0" xfId="26"/>
    <xf numFmtId="166" fontId="29" fillId="2" borderId="2" xfId="21" applyNumberFormat="1"/>
    <xf numFmtId="0" fontId="32" fillId="6" borderId="0" xfId="23" applyFill="1"/>
    <xf numFmtId="0" fontId="66" fillId="4" borderId="1" xfId="0" applyFont="1" applyFill="1" applyBorder="1" applyAlignment="1">
      <alignment vertical="center" wrapText="1"/>
    </xf>
    <xf numFmtId="0" fontId="67" fillId="0" borderId="0" xfId="0" applyFont="1"/>
    <xf numFmtId="165" fontId="29" fillId="2" borderId="2" xfId="19" applyNumberFormat="1" applyFont="1" applyFill="1" applyBorder="1"/>
    <xf numFmtId="0" fontId="54" fillId="7" borderId="0" xfId="25"/>
    <xf numFmtId="0" fontId="36" fillId="0" borderId="0" xfId="0" applyFont="1" applyAlignment="1">
      <alignment horizontal="right"/>
    </xf>
    <xf numFmtId="0" fontId="39" fillId="0" borderId="1" xfId="0" applyFont="1" applyBorder="1" applyAlignment="1">
      <alignment vertical="top" wrapText="1"/>
    </xf>
    <xf numFmtId="0" fontId="40" fillId="0" borderId="1" xfId="0" applyFont="1" applyBorder="1" applyAlignment="1">
      <alignment vertical="top"/>
    </xf>
    <xf numFmtId="0" fontId="28" fillId="8" borderId="2" xfId="27" applyAlignment="1">
      <alignment wrapText="1"/>
      <protection locked="0"/>
    </xf>
    <xf numFmtId="166" fontId="28" fillId="3" borderId="2" xfId="19" applyNumberFormat="1" applyFont="1" applyFill="1" applyBorder="1" applyAlignment="1" applyProtection="1">
      <alignment wrapText="1"/>
      <protection locked="0"/>
    </xf>
    <xf numFmtId="0" fontId="28" fillId="3" borderId="2" xfId="20" applyAlignment="1">
      <alignment wrapText="1"/>
      <protection locked="0"/>
    </xf>
    <xf numFmtId="0" fontId="28" fillId="8" borderId="2" xfId="27">
      <protection locked="0"/>
    </xf>
    <xf numFmtId="0" fontId="68" fillId="0" borderId="0" xfId="0" applyFont="1" applyProtection="1">
      <protection hidden="1"/>
    </xf>
    <xf numFmtId="0" fontId="32" fillId="0" borderId="0" xfId="23" applyAlignment="1">
      <alignment horizontal="left"/>
    </xf>
    <xf numFmtId="164" fontId="29" fillId="2" borderId="4" xfId="21" applyNumberFormat="1" applyBorder="1"/>
    <xf numFmtId="164" fontId="29" fillId="2" borderId="5" xfId="21" applyNumberFormat="1" applyBorder="1"/>
    <xf numFmtId="0" fontId="30" fillId="0" borderId="3" xfId="22"/>
    <xf numFmtId="164" fontId="30" fillId="2" borderId="3" xfId="22" applyNumberFormat="1" applyFill="1"/>
    <xf numFmtId="0" fontId="20" fillId="0" borderId="0" xfId="0" applyFont="1" applyAlignment="1">
      <alignment horizontal="right" vertical="center" indent="1"/>
    </xf>
    <xf numFmtId="0" fontId="32" fillId="0" borderId="0" xfId="23" applyAlignment="1">
      <alignment vertical="top"/>
    </xf>
    <xf numFmtId="164" fontId="0" fillId="0" borderId="0" xfId="0" applyNumberFormat="1"/>
    <xf numFmtId="164" fontId="21" fillId="0" borderId="0" xfId="0" applyNumberFormat="1" applyFont="1" applyAlignment="1">
      <alignment vertical="center" wrapText="1"/>
    </xf>
    <xf numFmtId="166" fontId="14" fillId="0" borderId="0" xfId="0" applyNumberFormat="1" applyFont="1"/>
    <xf numFmtId="0" fontId="70" fillId="9" borderId="0" xfId="23" applyFont="1" applyFill="1" applyAlignment="1">
      <alignment wrapText="1"/>
    </xf>
    <xf numFmtId="0" fontId="71" fillId="0" borderId="1" xfId="1" applyFont="1" applyBorder="1"/>
    <xf numFmtId="0" fontId="2" fillId="0" borderId="1" xfId="1" applyFont="1" applyBorder="1"/>
    <xf numFmtId="166" fontId="0" fillId="0" borderId="0" xfId="0" applyNumberFormat="1"/>
    <xf numFmtId="164" fontId="36" fillId="0" borderId="0" xfId="0" applyNumberFormat="1" applyFont="1"/>
    <xf numFmtId="166" fontId="30" fillId="0" borderId="3" xfId="22" applyNumberFormat="1"/>
    <xf numFmtId="0" fontId="64" fillId="0" borderId="0" xfId="23" applyFont="1"/>
    <xf numFmtId="0" fontId="32" fillId="0" borderId="0" xfId="23" applyAlignment="1">
      <alignment horizontal="right"/>
    </xf>
    <xf numFmtId="0" fontId="15" fillId="0" borderId="0" xfId="0" applyFont="1" applyAlignment="1">
      <alignment wrapText="1"/>
    </xf>
    <xf numFmtId="0" fontId="16" fillId="0" borderId="0" xfId="0" applyFont="1" applyAlignment="1">
      <alignment wrapText="1"/>
    </xf>
    <xf numFmtId="0" fontId="54" fillId="7" borderId="2" xfId="25" applyBorder="1" applyAlignment="1" applyProtection="1">
      <alignment horizontal="right"/>
      <protection locked="0"/>
    </xf>
    <xf numFmtId="2" fontId="28" fillId="3" borderId="2" xfId="20" applyNumberFormat="1">
      <protection locked="0"/>
    </xf>
    <xf numFmtId="0" fontId="28" fillId="8" borderId="2" xfId="27" applyAlignment="1">
      <alignment horizontal="right" vertical="center"/>
      <protection locked="0"/>
    </xf>
    <xf numFmtId="0" fontId="54" fillId="7" borderId="2" xfId="25" applyBorder="1" applyAlignment="1" applyProtection="1">
      <alignment horizontal="left"/>
      <protection locked="0"/>
    </xf>
    <xf numFmtId="165" fontId="28" fillId="8" borderId="2" xfId="19" applyNumberFormat="1" applyFont="1" applyFill="1" applyBorder="1" applyProtection="1">
      <protection locked="0"/>
    </xf>
    <xf numFmtId="0" fontId="54" fillId="7" borderId="2" xfId="25" applyBorder="1" applyAlignment="1">
      <alignment horizontal="left"/>
    </xf>
    <xf numFmtId="0" fontId="28" fillId="8" borderId="2" xfId="28"/>
    <xf numFmtId="0" fontId="32" fillId="0" borderId="0" xfId="23" applyAlignment="1">
      <alignment horizontal="left" vertical="top"/>
    </xf>
    <xf numFmtId="0" fontId="63" fillId="0" borderId="0" xfId="26" applyProtection="1">
      <protection locked="0"/>
    </xf>
    <xf numFmtId="0" fontId="36" fillId="0" borderId="0" xfId="0" applyFont="1" applyAlignment="1">
      <alignment vertical="top"/>
    </xf>
  </cellXfs>
  <cellStyles count="29">
    <cellStyle name="Bad" xfId="24" builtinId="27"/>
    <cellStyle name="Calculation" xfId="21" builtinId="22" customBuiltin="1"/>
    <cellStyle name="Cell Link." xfId="14" xr:uid="{B0131D9B-F80F-49A6-AA5B-CFC124D1B88E}"/>
    <cellStyle name="Explanatory Text" xfId="23" builtinId="53"/>
    <cellStyle name="Good" xfId="25" builtinId="26"/>
    <cellStyle name="Heading 1." xfId="6" xr:uid="{516650C4-A239-4A2F-8784-3C3CDD8E3CD3}"/>
    <cellStyle name="Heading 2." xfId="16" xr:uid="{9630470E-EEF6-448E-8667-C1DDECB396F7}"/>
    <cellStyle name="Heading 3." xfId="17" xr:uid="{D78D2CC3-2664-49B8-AE94-43CEF550308A}"/>
    <cellStyle name="Heading 4." xfId="18" xr:uid="{3DF91AC1-45D9-4985-9201-4A8C604D8BDB}"/>
    <cellStyle name="Hyperlink" xfId="26" builtinId="8"/>
    <cellStyle name="Hyperlink Arrow." xfId="5" xr:uid="{1EB5DB56-4AAC-403A-B99B-9B0580A87443}"/>
    <cellStyle name="Hyperlink Check." xfId="15" xr:uid="{DE9ADBA5-FAA3-4C11-B085-D7E5169C6BE9}"/>
    <cellStyle name="Hyperlink Text." xfId="4" xr:uid="{93444E8A-5FF2-4494-9E82-51E103E4F2E3}"/>
    <cellStyle name="Hyperlink TOC 1." xfId="7" xr:uid="{B0F91D18-BB92-4F1B-88E9-C7EC8168E57D}"/>
    <cellStyle name="Hyperlink TOC 2." xfId="8" xr:uid="{0A29B6FE-2B21-43DA-9285-8716E936DAA8}"/>
    <cellStyle name="Hyperlink TOC 3." xfId="9" xr:uid="{496E0DF8-7148-4B8E-8161-F82FBA22926B}"/>
    <cellStyle name="Hyperlink TOC 4." xfId="10" xr:uid="{CD254A14-F0D5-4D54-878C-AF40A50B240F}"/>
    <cellStyle name="Input" xfId="20" builtinId="20" customBuiltin="1"/>
    <cellStyle name="Input (no default)" xfId="27" xr:uid="{63496AFA-FBD0-412D-83E7-F4EF571AE25D}"/>
    <cellStyle name="Input 2" xfId="28" xr:uid="{1AB21A65-E328-4203-96CC-106C56DF254B}"/>
    <cellStyle name="Linked Cell" xfId="22" builtinId="24"/>
    <cellStyle name="Model Name." xfId="3" xr:uid="{97BFE7CE-94D1-4822-9186-AD495EAA1CE2}"/>
    <cellStyle name="Normal" xfId="0" builtinId="0"/>
    <cellStyle name="Normal 2" xfId="1" xr:uid="{48BB860A-E577-4631-9EE7-B17ACBDE5392}"/>
    <cellStyle name="Percent" xfId="19" builtinId="5"/>
    <cellStyle name="Presentation Heading 1." xfId="11" xr:uid="{ABCF06A2-6016-44AF-9C9B-CF1C6470BE50}"/>
    <cellStyle name="Presentation Heading 4." xfId="13" xr:uid="{6686ED4D-5558-4CE5-9EDD-C44C111ECEF3}"/>
    <cellStyle name="Presentation Normal." xfId="12" xr:uid="{10548B24-2D08-4E39-AA5D-74D7E2919522}"/>
    <cellStyle name="Sheet Title." xfId="2" xr:uid="{7B74D379-F223-41AE-9826-80DF3D116613}"/>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553208</xdr:colOff>
      <xdr:row>38</xdr:row>
      <xdr:rowOff>984</xdr:rowOff>
    </xdr:to>
    <xdr:pic>
      <xdr:nvPicPr>
        <xdr:cNvPr id="3" name="Picture 2">
          <a:extLst>
            <a:ext uri="{FF2B5EF4-FFF2-40B4-BE49-F238E27FC236}">
              <a16:creationId xmlns:a16="http://schemas.microsoft.com/office/drawing/2014/main" id="{51C081D2-C802-463A-ACC0-02368F8B7FEB}"/>
            </a:ext>
          </a:extLst>
        </xdr:cNvPr>
        <xdr:cNvPicPr>
          <a:picLocks noChangeAspect="1"/>
        </xdr:cNvPicPr>
      </xdr:nvPicPr>
      <xdr:blipFill>
        <a:blip xmlns:r="http://schemas.openxmlformats.org/officeDocument/2006/relationships" r:embed="rId1"/>
        <a:stretch>
          <a:fillRect/>
        </a:stretch>
      </xdr:blipFill>
      <xdr:spPr>
        <a:xfrm>
          <a:off x="609600" y="190500"/>
          <a:ext cx="5430008" cy="7049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161925</xdr:rowOff>
    </xdr:from>
    <xdr:to>
      <xdr:col>17</xdr:col>
      <xdr:colOff>9525</xdr:colOff>
      <xdr:row>41</xdr:row>
      <xdr:rowOff>142875</xdr:rowOff>
    </xdr:to>
    <xdr:sp macro="" textlink="">
      <xdr:nvSpPr>
        <xdr:cNvPr id="2" name="TextBox 1">
          <a:extLst>
            <a:ext uri="{FF2B5EF4-FFF2-40B4-BE49-F238E27FC236}">
              <a16:creationId xmlns:a16="http://schemas.microsoft.com/office/drawing/2014/main" id="{61E30142-2D5B-4A84-8769-A9DB2A1F4B61}"/>
            </a:ext>
          </a:extLst>
        </xdr:cNvPr>
        <xdr:cNvSpPr txBox="1"/>
      </xdr:nvSpPr>
      <xdr:spPr>
        <a:xfrm>
          <a:off x="609600" y="161925"/>
          <a:ext cx="9763125" cy="779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 Introduction and purpose</a:t>
          </a:r>
        </a:p>
        <a:p>
          <a:r>
            <a:rPr lang="nl-NL" sz="1100"/>
            <a:t>Long-lasting insecticidal nets (LNs) constitute a core vector control intervention against malaria. A number of new LN products are under development and will require assessment of risks to humans.</a:t>
          </a:r>
        </a:p>
        <a:p>
          <a:r>
            <a:rPr lang="nl-NL" sz="1100"/>
            <a:t>This document provides an updated generic model that can be used for the risk assessment of exposure to insecticides of individuals sleeping under LNs and during the washing of nets. In an Annex, exposures and health risks are described for the conventional treatment or retreatment of nets (ITNs) with an insecticide considering that such practices may still be used in evaluation of ITNs and their use. The generic model does not include the risks associated with the manufacturing of LNs in a factory environment.</a:t>
          </a:r>
        </a:p>
        <a:p>
          <a:endParaRPr lang="nl-NL" sz="1100"/>
        </a:p>
        <a:p>
          <a:r>
            <a:rPr lang="nl-NL" sz="1100" b="1">
              <a:solidFill>
                <a:schemeClr val="dk1"/>
              </a:solidFill>
              <a:effectLst/>
              <a:latin typeface="+mn-lt"/>
              <a:ea typeface="+mn-ea"/>
              <a:cs typeface="+mn-cs"/>
            </a:rPr>
            <a:t>2 Need for a generic risk assessment model</a:t>
          </a:r>
          <a:endParaRPr lang="en-NL">
            <a:effectLst/>
          </a:endParaRPr>
        </a:p>
        <a:p>
          <a:r>
            <a:rPr lang="nl-NL" sz="1100">
              <a:solidFill>
                <a:schemeClr val="dk1"/>
              </a:solidFill>
              <a:effectLst/>
              <a:latin typeface="+mn-lt"/>
              <a:ea typeface="+mn-ea"/>
              <a:cs typeface="+mn-cs"/>
            </a:rPr>
            <a:t>Pyrethroid insecticides have been extensively used for the treatment of nets to protect against malaria and other vector-borne diseases. The effectiveness of such nets in reducing morbidity and mortality from malaria is well documented (WHO, 2000; Lengeler, 2004). The WHO Global Malaria Programme has made LNs one of the two core interventions against malaria.</a:t>
          </a:r>
          <a:endParaRPr lang="en-NL">
            <a:effectLst/>
          </a:endParaRPr>
        </a:p>
        <a:p>
          <a:r>
            <a:rPr lang="nl-NL" sz="1100">
              <a:solidFill>
                <a:schemeClr val="dk1"/>
              </a:solidFill>
              <a:effectLst/>
              <a:latin typeface="+mn-lt"/>
              <a:ea typeface="+mn-ea"/>
              <a:cs typeface="+mn-cs"/>
            </a:rPr>
            <a:t>The WHO Pesticide Evaluation Scheme (WHOPES) has recommended certain insecticide formulations for the conventional treatment of nets, as shown on the WHOPES website (https://www.who.int/pq-vector-control/prequalified-lists/en/).</a:t>
          </a:r>
          <a:endParaRPr lang="en-NL">
            <a:effectLst/>
          </a:endParaRPr>
        </a:p>
        <a:p>
          <a:r>
            <a:rPr lang="nl-NL" sz="1100">
              <a:solidFill>
                <a:schemeClr val="dk1"/>
              </a:solidFill>
              <a:effectLst/>
              <a:latin typeface="+mn-lt"/>
              <a:ea typeface="+mn-ea"/>
              <a:cs typeface="+mn-cs"/>
            </a:rPr>
            <a:t>With the emergence and spread of pyrethroid resistance among insect vectors, new brands of LNs containing a mixture of a pyrethroid and a compound in an alternative insecticide class with a different mode of action have been evaluated and recommended by WHO. In future, LNs with new active ingredients may also be produced. A generic risk assessment model is therefore needed, that is applicable to mixture or combination LNs. The model should incorporate data on the use patterns and typical exposure scenarios associated with the use of LNs. At the same time, the conventionally treated nets (ITNs) may still be used and may become again more important in the future; the model</a:t>
          </a:r>
          <a:endParaRPr lang="en-NL">
            <a:effectLst/>
          </a:endParaRPr>
        </a:p>
        <a:p>
          <a:r>
            <a:rPr lang="nl-NL" sz="1100">
              <a:solidFill>
                <a:schemeClr val="dk1"/>
              </a:solidFill>
              <a:effectLst/>
              <a:latin typeface="+mn-lt"/>
              <a:ea typeface="+mn-ea"/>
              <a:cs typeface="+mn-cs"/>
            </a:rPr>
            <a:t>encompasses the manual treatment of nets in an Annex. For treatment or retreatment of the nets, the model includes both the guideline scenario (in which the guidelines given are strictly followed) and a lax standard scenario (in which tropical conditions are accommodated and no personal protection other than light clothing covering the trunk of the impregnator is assumed).</a:t>
          </a:r>
          <a:endParaRPr lang="en-NL">
            <a:effectLst/>
          </a:endParaRPr>
        </a:p>
        <a:p>
          <a:endParaRPr lang="nl-NL" sz="1100"/>
        </a:p>
        <a:p>
          <a:r>
            <a:rPr lang="nl-NL" sz="1100" b="1"/>
            <a:t>3. Purpose of</a:t>
          </a:r>
          <a:r>
            <a:rPr lang="nl-NL" sz="1100" b="1" baseline="0"/>
            <a:t> this Excel calculation model</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This spreadsheet is an implementation of the model described and allows regulators to perform assessments for new products with relatively limited effort. The model follows the calculation rules and suggestions for default values as described in the model document. It is </a:t>
          </a:r>
          <a:r>
            <a:rPr lang="nl-NL" sz="1100" baseline="0">
              <a:solidFill>
                <a:schemeClr val="dk1"/>
              </a:solidFill>
              <a:effectLst/>
              <a:latin typeface="+mn-lt"/>
              <a:ea typeface="+mn-ea"/>
              <a:cs typeface="+mn-cs"/>
            </a:rPr>
            <a:t>populated with values from the Worked Example as included in the document.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4. How to use this spreadsheet</a:t>
          </a:r>
          <a:r>
            <a:rPr lang="nl-NL" sz="1100" baseline="0">
              <a:solidFill>
                <a:schemeClr val="dk1"/>
              </a:solidFill>
              <a:effectLst/>
              <a:latin typeface="+mn-lt"/>
              <a:ea typeface="+mn-ea"/>
              <a:cs typeface="+mn-cs"/>
            </a:rPr>
            <a:t> </a:t>
          </a:r>
          <a:endParaRPr lang="en-NL">
            <a:effectLst/>
          </a:endParaRPr>
        </a:p>
        <a:p>
          <a:r>
            <a:rPr lang="nl-NL" sz="1100" baseline="0"/>
            <a:t>This spreadsheet requires a Microsoft Excel, Open Office or any other suite compatible with the xlsx format. It does not require the use of macros or other non-standard functionality.</a:t>
          </a:r>
        </a:p>
        <a:p>
          <a:endParaRPr lang="nl-NL" sz="1100" baseline="0"/>
        </a:p>
        <a:p>
          <a:r>
            <a:rPr lang="nl-NL" sz="1100" baseline="0"/>
            <a:t>Start by entering the relevant values on page </a:t>
          </a:r>
          <a:r>
            <a:rPr lang="nl-NL" sz="1100" b="1" baseline="0"/>
            <a:t>'Input</a:t>
          </a:r>
          <a:r>
            <a:rPr lang="nl-NL" sz="1100" baseline="0"/>
            <a:t>' and use the suggestions for defaults as guideline only.</a:t>
          </a:r>
        </a:p>
        <a:p>
          <a:r>
            <a:rPr lang="nl-NL" sz="1100" baseline="0"/>
            <a:t>Page </a:t>
          </a:r>
          <a:r>
            <a:rPr lang="nl-NL" sz="1100" b="1" baseline="0"/>
            <a:t>'Risk characterization</a:t>
          </a:r>
          <a:r>
            <a:rPr lang="nl-NL" sz="1100" baseline="0"/>
            <a:t>' summarizes the results from the individual assessments and calculates the risk ratios based on the systemic doses and the TSD.</a:t>
          </a:r>
        </a:p>
        <a:p>
          <a:r>
            <a:rPr lang="nl-NL" sz="1100" baseline="0"/>
            <a:t>Pages between </a:t>
          </a:r>
          <a:r>
            <a:rPr lang="nl-NL" sz="1100" b="1" baseline="0"/>
            <a:t>'Input</a:t>
          </a:r>
          <a:r>
            <a:rPr lang="nl-NL" sz="1100" baseline="0"/>
            <a:t>' and </a:t>
          </a:r>
          <a:r>
            <a:rPr lang="nl-NL" sz="1100" b="1" baseline="0"/>
            <a:t>'Risk characterization</a:t>
          </a:r>
          <a:r>
            <a:rPr lang="nl-NL" sz="1100" baseline="0"/>
            <a:t>' contain the actual exposure calculations.</a:t>
          </a:r>
        </a:p>
        <a:p>
          <a:endParaRPr lang="nl-NL" sz="1100" baseline="0"/>
        </a:p>
        <a:p>
          <a:r>
            <a:rPr lang="nl-NL" sz="1100" b="1" baseline="0">
              <a:solidFill>
                <a:srgbClr val="FF0000"/>
              </a:solidFill>
            </a:rPr>
            <a:t>IMPORTANT: Unit of display of calculated values</a:t>
          </a:r>
        </a:p>
        <a:p>
          <a:r>
            <a:rPr lang="nl-NL" sz="1100" baseline="0"/>
            <a:t>The user can manually switch between display of calculated values in mg or in µg.</a:t>
          </a:r>
        </a:p>
        <a:p>
          <a:r>
            <a:rPr lang="nl-NL" sz="1100" baseline="0"/>
            <a:t>This is done at the top of sheet "2.1 Exposure from sleeping" and will update all calcutions and relevent units.</a:t>
          </a:r>
        </a:p>
        <a:p>
          <a:r>
            <a:rPr lang="nl-NL" sz="1100" baseline="0"/>
            <a:t>The default is display in µg</a:t>
          </a:r>
        </a:p>
        <a:p>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5. Specific considerations for this model</a:t>
          </a:r>
        </a:p>
        <a:p>
          <a:pPr eaLnBrk="1" fontAlgn="auto" latinLnBrk="0" hangingPunct="1"/>
          <a:r>
            <a:rPr lang="en-US" sz="1100">
              <a:solidFill>
                <a:schemeClr val="dk1"/>
              </a:solidFill>
              <a:effectLst/>
              <a:latin typeface="+mn-lt"/>
              <a:ea typeface="+mn-ea"/>
              <a:cs typeface="+mn-cs"/>
            </a:rPr>
            <a:t>The TSD and TSD</a:t>
          </a:r>
          <a:r>
            <a:rPr lang="en-US" sz="1100" baseline="-25000">
              <a:solidFill>
                <a:schemeClr val="dk1"/>
              </a:solidFill>
              <a:effectLst/>
              <a:latin typeface="+mn-lt"/>
              <a:ea typeface="+mn-ea"/>
              <a:cs typeface="+mn-cs"/>
            </a:rPr>
            <a:t>ac</a:t>
          </a:r>
          <a:r>
            <a:rPr lang="en-US" sz="1100">
              <a:solidFill>
                <a:schemeClr val="dk1"/>
              </a:solidFill>
              <a:effectLst/>
              <a:latin typeface="+mn-lt"/>
              <a:ea typeface="+mn-ea"/>
              <a:cs typeface="+mn-cs"/>
            </a:rPr>
            <a:t> can be determined either</a:t>
          </a:r>
          <a:r>
            <a:rPr lang="en-US" sz="1100" baseline="0">
              <a:solidFill>
                <a:schemeClr val="dk1"/>
              </a:solidFill>
              <a:effectLst/>
              <a:latin typeface="+mn-lt"/>
              <a:ea typeface="+mn-ea"/>
              <a:cs typeface="+mn-cs"/>
            </a:rPr>
            <a:t> based on</a:t>
          </a:r>
          <a:r>
            <a:rPr lang="en-US" sz="1100">
              <a:solidFill>
                <a:schemeClr val="dk1"/>
              </a:solidFill>
              <a:effectLst/>
              <a:latin typeface="+mn-lt"/>
              <a:ea typeface="+mn-ea"/>
              <a:cs typeface="+mn-cs"/>
            </a:rPr>
            <a:t> the</a:t>
          </a:r>
          <a:r>
            <a:rPr lang="en-US" sz="1100" baseline="0">
              <a:solidFill>
                <a:schemeClr val="dk1"/>
              </a:solidFill>
              <a:effectLst/>
              <a:latin typeface="+mn-lt"/>
              <a:ea typeface="+mn-ea"/>
              <a:cs typeface="+mn-cs"/>
            </a:rPr>
            <a:t> chronic and acute </a:t>
          </a:r>
          <a:r>
            <a:rPr lang="en-US" sz="1100">
              <a:solidFill>
                <a:schemeClr val="dk1"/>
              </a:solidFill>
              <a:effectLst/>
              <a:latin typeface="+mn-lt"/>
              <a:ea typeface="+mn-ea"/>
              <a:cs typeface="+mn-cs"/>
            </a:rPr>
            <a:t>NOAEL (or the LOAEL or BMD)</a:t>
          </a:r>
          <a:r>
            <a:rPr lang="en-US" sz="1100" baseline="0">
              <a:solidFill>
                <a:schemeClr val="dk1"/>
              </a:solidFill>
              <a:effectLst/>
              <a:latin typeface="+mn-lt"/>
              <a:ea typeface="+mn-ea"/>
              <a:cs typeface="+mn-cs"/>
            </a:rPr>
            <a:t> or on the ADI and ARfD (see chapter 4.1.7 in the guideline). If values are provided for both, the model will use the ADI/ARfD values. If the ADI is not provided the NOAEL values will be used.</a:t>
          </a:r>
          <a:endParaRPr lang="en-N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17</xdr:col>
      <xdr:colOff>210257</xdr:colOff>
      <xdr:row>14</xdr:row>
      <xdr:rowOff>209987</xdr:rowOff>
    </xdr:to>
    <xdr:pic>
      <xdr:nvPicPr>
        <xdr:cNvPr id="2" name="Picture 1">
          <a:extLst>
            <a:ext uri="{FF2B5EF4-FFF2-40B4-BE49-F238E27FC236}">
              <a16:creationId xmlns:a16="http://schemas.microsoft.com/office/drawing/2014/main" id="{9318C482-61CE-4B11-B62B-73919481A000}"/>
            </a:ext>
          </a:extLst>
        </xdr:cNvPr>
        <xdr:cNvPicPr>
          <a:picLocks noChangeAspect="1"/>
        </xdr:cNvPicPr>
      </xdr:nvPicPr>
      <xdr:blipFill>
        <a:blip xmlns:r="http://schemas.openxmlformats.org/officeDocument/2006/relationships" r:embed="rId1"/>
        <a:stretch>
          <a:fillRect/>
        </a:stretch>
      </xdr:blipFill>
      <xdr:spPr>
        <a:xfrm>
          <a:off x="20421600" y="0"/>
          <a:ext cx="5068007" cy="3134162"/>
        </a:xfrm>
        <a:prstGeom prst="rect">
          <a:avLst/>
        </a:prstGeom>
      </xdr:spPr>
    </xdr:pic>
    <xdr:clientData/>
  </xdr:twoCellAnchor>
  <xdr:twoCellAnchor editAs="oneCell">
    <xdr:from>
      <xdr:col>14</xdr:col>
      <xdr:colOff>0</xdr:colOff>
      <xdr:row>16</xdr:row>
      <xdr:rowOff>0</xdr:rowOff>
    </xdr:from>
    <xdr:to>
      <xdr:col>17</xdr:col>
      <xdr:colOff>210257</xdr:colOff>
      <xdr:row>25</xdr:row>
      <xdr:rowOff>171733</xdr:rowOff>
    </xdr:to>
    <xdr:pic>
      <xdr:nvPicPr>
        <xdr:cNvPr id="4" name="Picture 3">
          <a:extLst>
            <a:ext uri="{FF2B5EF4-FFF2-40B4-BE49-F238E27FC236}">
              <a16:creationId xmlns:a16="http://schemas.microsoft.com/office/drawing/2014/main" id="{B4D6B6CD-1453-45D3-BD5F-617BDA473A3E}"/>
            </a:ext>
          </a:extLst>
        </xdr:cNvPr>
        <xdr:cNvPicPr>
          <a:picLocks noChangeAspect="1"/>
        </xdr:cNvPicPr>
      </xdr:nvPicPr>
      <xdr:blipFill>
        <a:blip xmlns:r="http://schemas.openxmlformats.org/officeDocument/2006/relationships" r:embed="rId2"/>
        <a:stretch>
          <a:fillRect/>
        </a:stretch>
      </xdr:blipFill>
      <xdr:spPr>
        <a:xfrm>
          <a:off x="20421600" y="3248025"/>
          <a:ext cx="5068007" cy="2029108"/>
        </a:xfrm>
        <a:prstGeom prst="rect">
          <a:avLst/>
        </a:prstGeom>
      </xdr:spPr>
    </xdr:pic>
    <xdr:clientData/>
  </xdr:twoCellAnchor>
  <xdr:twoCellAnchor editAs="oneCell">
    <xdr:from>
      <xdr:col>14</xdr:col>
      <xdr:colOff>0</xdr:colOff>
      <xdr:row>26</xdr:row>
      <xdr:rowOff>0</xdr:rowOff>
    </xdr:from>
    <xdr:to>
      <xdr:col>17</xdr:col>
      <xdr:colOff>210257</xdr:colOff>
      <xdr:row>37</xdr:row>
      <xdr:rowOff>152719</xdr:rowOff>
    </xdr:to>
    <xdr:pic>
      <xdr:nvPicPr>
        <xdr:cNvPr id="5" name="Picture 4">
          <a:extLst>
            <a:ext uri="{FF2B5EF4-FFF2-40B4-BE49-F238E27FC236}">
              <a16:creationId xmlns:a16="http://schemas.microsoft.com/office/drawing/2014/main" id="{0DBF96C4-B411-492C-A04D-41DC7B6BEFC9}"/>
            </a:ext>
          </a:extLst>
        </xdr:cNvPr>
        <xdr:cNvPicPr>
          <a:picLocks noChangeAspect="1"/>
        </xdr:cNvPicPr>
      </xdr:nvPicPr>
      <xdr:blipFill>
        <a:blip xmlns:r="http://schemas.openxmlformats.org/officeDocument/2006/relationships" r:embed="rId3"/>
        <a:stretch>
          <a:fillRect/>
        </a:stretch>
      </xdr:blipFill>
      <xdr:spPr>
        <a:xfrm>
          <a:off x="20421600" y="5324475"/>
          <a:ext cx="5068007" cy="2286319"/>
        </a:xfrm>
        <a:prstGeom prst="rect">
          <a:avLst/>
        </a:prstGeom>
      </xdr:spPr>
    </xdr:pic>
    <xdr:clientData/>
  </xdr:twoCellAnchor>
  <xdr:twoCellAnchor editAs="oneCell">
    <xdr:from>
      <xdr:col>14</xdr:col>
      <xdr:colOff>0</xdr:colOff>
      <xdr:row>38</xdr:row>
      <xdr:rowOff>0</xdr:rowOff>
    </xdr:from>
    <xdr:to>
      <xdr:col>17</xdr:col>
      <xdr:colOff>210257</xdr:colOff>
      <xdr:row>48</xdr:row>
      <xdr:rowOff>181266</xdr:rowOff>
    </xdr:to>
    <xdr:pic>
      <xdr:nvPicPr>
        <xdr:cNvPr id="9" name="Picture 8">
          <a:extLst>
            <a:ext uri="{FF2B5EF4-FFF2-40B4-BE49-F238E27FC236}">
              <a16:creationId xmlns:a16="http://schemas.microsoft.com/office/drawing/2014/main" id="{0A895BF0-1C0B-4E3B-932B-A0BD63BF01E2}"/>
            </a:ext>
          </a:extLst>
        </xdr:cNvPr>
        <xdr:cNvPicPr>
          <a:picLocks noChangeAspect="1"/>
        </xdr:cNvPicPr>
      </xdr:nvPicPr>
      <xdr:blipFill>
        <a:blip xmlns:r="http://schemas.openxmlformats.org/officeDocument/2006/relationships" r:embed="rId4"/>
        <a:stretch>
          <a:fillRect/>
        </a:stretch>
      </xdr:blipFill>
      <xdr:spPr>
        <a:xfrm>
          <a:off x="20421600" y="7762875"/>
          <a:ext cx="5068007" cy="20862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1583120</xdr:colOff>
      <xdr:row>0</xdr:row>
      <xdr:rowOff>0</xdr:rowOff>
    </xdr:from>
    <xdr:to>
      <xdr:col>12</xdr:col>
      <xdr:colOff>137672</xdr:colOff>
      <xdr:row>18</xdr:row>
      <xdr:rowOff>5138</xdr:rowOff>
    </xdr:to>
    <xdr:pic>
      <xdr:nvPicPr>
        <xdr:cNvPr id="4" name="Picture 3">
          <a:extLst>
            <a:ext uri="{FF2B5EF4-FFF2-40B4-BE49-F238E27FC236}">
              <a16:creationId xmlns:a16="http://schemas.microsoft.com/office/drawing/2014/main" id="{18BC121F-C599-4E4B-A768-647D36FCD0EA}"/>
            </a:ext>
          </a:extLst>
        </xdr:cNvPr>
        <xdr:cNvPicPr>
          <a:picLocks noChangeAspect="1"/>
        </xdr:cNvPicPr>
      </xdr:nvPicPr>
      <xdr:blipFill>
        <a:blip xmlns:r="http://schemas.openxmlformats.org/officeDocument/2006/relationships" r:embed="rId1"/>
        <a:stretch>
          <a:fillRect/>
        </a:stretch>
      </xdr:blipFill>
      <xdr:spPr>
        <a:xfrm>
          <a:off x="8874672" y="0"/>
          <a:ext cx="5077534" cy="3867690"/>
        </a:xfrm>
        <a:prstGeom prst="rect">
          <a:avLst/>
        </a:prstGeom>
      </xdr:spPr>
    </xdr:pic>
    <xdr:clientData/>
  </xdr:twoCellAnchor>
  <xdr:twoCellAnchor editAs="oneCell">
    <xdr:from>
      <xdr:col>8</xdr:col>
      <xdr:colOff>0</xdr:colOff>
      <xdr:row>19</xdr:row>
      <xdr:rowOff>0</xdr:rowOff>
    </xdr:from>
    <xdr:to>
      <xdr:col>12</xdr:col>
      <xdr:colOff>124531</xdr:colOff>
      <xdr:row>35</xdr:row>
      <xdr:rowOff>181442</xdr:rowOff>
    </xdr:to>
    <xdr:pic>
      <xdr:nvPicPr>
        <xdr:cNvPr id="2" name="Picture 1">
          <a:extLst>
            <a:ext uri="{FF2B5EF4-FFF2-40B4-BE49-F238E27FC236}">
              <a16:creationId xmlns:a16="http://schemas.microsoft.com/office/drawing/2014/main" id="{91E93997-FEF6-42DA-AE9E-CAB930C22F89}"/>
            </a:ext>
          </a:extLst>
        </xdr:cNvPr>
        <xdr:cNvPicPr>
          <a:picLocks noChangeAspect="1"/>
        </xdr:cNvPicPr>
      </xdr:nvPicPr>
      <xdr:blipFill>
        <a:blip xmlns:r="http://schemas.openxmlformats.org/officeDocument/2006/relationships" r:embed="rId2"/>
        <a:stretch>
          <a:fillRect/>
        </a:stretch>
      </xdr:blipFill>
      <xdr:spPr>
        <a:xfrm>
          <a:off x="8867775" y="4057650"/>
          <a:ext cx="5058481" cy="33437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17</xdr:row>
      <xdr:rowOff>0</xdr:rowOff>
    </xdr:from>
    <xdr:to>
      <xdr:col>12</xdr:col>
      <xdr:colOff>1362895</xdr:colOff>
      <xdr:row>29</xdr:row>
      <xdr:rowOff>143226</xdr:rowOff>
    </xdr:to>
    <xdr:pic>
      <xdr:nvPicPr>
        <xdr:cNvPr id="5" name="Picture 4">
          <a:extLst>
            <a:ext uri="{FF2B5EF4-FFF2-40B4-BE49-F238E27FC236}">
              <a16:creationId xmlns:a16="http://schemas.microsoft.com/office/drawing/2014/main" id="{44E6CDEB-C961-4404-933B-45E0284B7886}"/>
            </a:ext>
          </a:extLst>
        </xdr:cNvPr>
        <xdr:cNvPicPr>
          <a:picLocks noChangeAspect="1"/>
        </xdr:cNvPicPr>
      </xdr:nvPicPr>
      <xdr:blipFill>
        <a:blip xmlns:r="http://schemas.openxmlformats.org/officeDocument/2006/relationships" r:embed="rId1"/>
        <a:stretch>
          <a:fillRect/>
        </a:stretch>
      </xdr:blipFill>
      <xdr:spPr>
        <a:xfrm>
          <a:off x="9286875" y="3600450"/>
          <a:ext cx="5877745" cy="2514951"/>
        </a:xfrm>
        <a:prstGeom prst="rect">
          <a:avLst/>
        </a:prstGeom>
      </xdr:spPr>
    </xdr:pic>
    <xdr:clientData/>
  </xdr:twoCellAnchor>
  <xdr:twoCellAnchor editAs="oneCell">
    <xdr:from>
      <xdr:col>8</xdr:col>
      <xdr:colOff>504824</xdr:colOff>
      <xdr:row>0</xdr:row>
      <xdr:rowOff>0</xdr:rowOff>
    </xdr:from>
    <xdr:to>
      <xdr:col>12</xdr:col>
      <xdr:colOff>1348524</xdr:colOff>
      <xdr:row>14</xdr:row>
      <xdr:rowOff>180975</xdr:rowOff>
    </xdr:to>
    <xdr:pic>
      <xdr:nvPicPr>
        <xdr:cNvPr id="2" name="Picture 1">
          <a:extLst>
            <a:ext uri="{FF2B5EF4-FFF2-40B4-BE49-F238E27FC236}">
              <a16:creationId xmlns:a16="http://schemas.microsoft.com/office/drawing/2014/main" id="{D99593B7-B709-4922-9D56-76656DE0FBD7}"/>
            </a:ext>
          </a:extLst>
        </xdr:cNvPr>
        <xdr:cNvPicPr>
          <a:picLocks noChangeAspect="1"/>
        </xdr:cNvPicPr>
      </xdr:nvPicPr>
      <xdr:blipFill>
        <a:blip xmlns:r="http://schemas.openxmlformats.org/officeDocument/2006/relationships" r:embed="rId2"/>
        <a:stretch>
          <a:fillRect/>
        </a:stretch>
      </xdr:blipFill>
      <xdr:spPr>
        <a:xfrm>
          <a:off x="9286874" y="0"/>
          <a:ext cx="5863375" cy="312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14</xdr:col>
      <xdr:colOff>667457</xdr:colOff>
      <xdr:row>12</xdr:row>
      <xdr:rowOff>76576</xdr:rowOff>
    </xdr:to>
    <xdr:pic>
      <xdr:nvPicPr>
        <xdr:cNvPr id="2" name="Picture 1">
          <a:extLst>
            <a:ext uri="{FF2B5EF4-FFF2-40B4-BE49-F238E27FC236}">
              <a16:creationId xmlns:a16="http://schemas.microsoft.com/office/drawing/2014/main" id="{9E31CFB0-4538-4514-A3F0-A1F73C826BB2}"/>
            </a:ext>
          </a:extLst>
        </xdr:cNvPr>
        <xdr:cNvPicPr>
          <a:picLocks noChangeAspect="1"/>
        </xdr:cNvPicPr>
      </xdr:nvPicPr>
      <xdr:blipFill>
        <a:blip xmlns:r="http://schemas.openxmlformats.org/officeDocument/2006/relationships" r:embed="rId1"/>
        <a:stretch>
          <a:fillRect/>
        </a:stretch>
      </xdr:blipFill>
      <xdr:spPr>
        <a:xfrm>
          <a:off x="14773275" y="190500"/>
          <a:ext cx="5068007" cy="2695951"/>
        </a:xfrm>
        <a:prstGeom prst="rect">
          <a:avLst/>
        </a:prstGeom>
      </xdr:spPr>
    </xdr:pic>
    <xdr:clientData/>
  </xdr:twoCellAnchor>
  <xdr:twoCellAnchor editAs="oneCell">
    <xdr:from>
      <xdr:col>14</xdr:col>
      <xdr:colOff>762000</xdr:colOff>
      <xdr:row>1</xdr:row>
      <xdr:rowOff>9525</xdr:rowOff>
    </xdr:from>
    <xdr:to>
      <xdr:col>17</xdr:col>
      <xdr:colOff>1324684</xdr:colOff>
      <xdr:row>11</xdr:row>
      <xdr:rowOff>19386</xdr:rowOff>
    </xdr:to>
    <xdr:pic>
      <xdr:nvPicPr>
        <xdr:cNvPr id="3" name="Picture 2">
          <a:extLst>
            <a:ext uri="{FF2B5EF4-FFF2-40B4-BE49-F238E27FC236}">
              <a16:creationId xmlns:a16="http://schemas.microsoft.com/office/drawing/2014/main" id="{15B4829D-5BE2-463A-8704-24512186CC88}"/>
            </a:ext>
          </a:extLst>
        </xdr:cNvPr>
        <xdr:cNvPicPr>
          <a:picLocks noChangeAspect="1"/>
        </xdr:cNvPicPr>
      </xdr:nvPicPr>
      <xdr:blipFill>
        <a:blip xmlns:r="http://schemas.openxmlformats.org/officeDocument/2006/relationships" r:embed="rId2"/>
        <a:stretch>
          <a:fillRect/>
        </a:stretch>
      </xdr:blipFill>
      <xdr:spPr>
        <a:xfrm>
          <a:off x="19935825" y="200025"/>
          <a:ext cx="5077534" cy="2410161"/>
        </a:xfrm>
        <a:prstGeom prst="rect">
          <a:avLst/>
        </a:prstGeom>
      </xdr:spPr>
    </xdr:pic>
    <xdr:clientData/>
  </xdr:twoCellAnchor>
  <xdr:twoCellAnchor editAs="oneCell">
    <xdr:from>
      <xdr:col>9</xdr:col>
      <xdr:colOff>0</xdr:colOff>
      <xdr:row>12</xdr:row>
      <xdr:rowOff>200025</xdr:rowOff>
    </xdr:from>
    <xdr:to>
      <xdr:col>14</xdr:col>
      <xdr:colOff>667457</xdr:colOff>
      <xdr:row>27</xdr:row>
      <xdr:rowOff>38517</xdr:rowOff>
    </xdr:to>
    <xdr:pic>
      <xdr:nvPicPr>
        <xdr:cNvPr id="10" name="Picture 9">
          <a:extLst>
            <a:ext uri="{FF2B5EF4-FFF2-40B4-BE49-F238E27FC236}">
              <a16:creationId xmlns:a16="http://schemas.microsoft.com/office/drawing/2014/main" id="{E581CF64-9BE2-4B3F-BB62-6E6F91F7D14A}"/>
            </a:ext>
          </a:extLst>
        </xdr:cNvPr>
        <xdr:cNvPicPr>
          <a:picLocks noChangeAspect="1"/>
        </xdr:cNvPicPr>
      </xdr:nvPicPr>
      <xdr:blipFill>
        <a:blip xmlns:r="http://schemas.openxmlformats.org/officeDocument/2006/relationships" r:embed="rId3"/>
        <a:stretch>
          <a:fillRect/>
        </a:stretch>
      </xdr:blipFill>
      <xdr:spPr>
        <a:xfrm>
          <a:off x="14773275" y="3009900"/>
          <a:ext cx="5068007" cy="2991267"/>
        </a:xfrm>
        <a:prstGeom prst="rect">
          <a:avLst/>
        </a:prstGeom>
      </xdr:spPr>
    </xdr:pic>
    <xdr:clientData/>
  </xdr:twoCellAnchor>
  <xdr:twoCellAnchor editAs="oneCell">
    <xdr:from>
      <xdr:col>14</xdr:col>
      <xdr:colOff>771525</xdr:colOff>
      <xdr:row>13</xdr:row>
      <xdr:rowOff>0</xdr:rowOff>
    </xdr:from>
    <xdr:to>
      <xdr:col>17</xdr:col>
      <xdr:colOff>1324682</xdr:colOff>
      <xdr:row>26</xdr:row>
      <xdr:rowOff>152800</xdr:rowOff>
    </xdr:to>
    <xdr:pic>
      <xdr:nvPicPr>
        <xdr:cNvPr id="11" name="Picture 10">
          <a:extLst>
            <a:ext uri="{FF2B5EF4-FFF2-40B4-BE49-F238E27FC236}">
              <a16:creationId xmlns:a16="http://schemas.microsoft.com/office/drawing/2014/main" id="{75918A6E-01C7-4A67-8B93-4BEFE2E25F4F}"/>
            </a:ext>
          </a:extLst>
        </xdr:cNvPr>
        <xdr:cNvPicPr>
          <a:picLocks noChangeAspect="1"/>
        </xdr:cNvPicPr>
      </xdr:nvPicPr>
      <xdr:blipFill>
        <a:blip xmlns:r="http://schemas.openxmlformats.org/officeDocument/2006/relationships" r:embed="rId4"/>
        <a:stretch>
          <a:fillRect/>
        </a:stretch>
      </xdr:blipFill>
      <xdr:spPr>
        <a:xfrm>
          <a:off x="19945350" y="3028950"/>
          <a:ext cx="5068007" cy="2867425"/>
        </a:xfrm>
        <a:prstGeom prst="rect">
          <a:avLst/>
        </a:prstGeom>
      </xdr:spPr>
    </xdr:pic>
    <xdr:clientData/>
  </xdr:twoCellAnchor>
  <xdr:twoCellAnchor editAs="oneCell">
    <xdr:from>
      <xdr:col>9</xdr:col>
      <xdr:colOff>0</xdr:colOff>
      <xdr:row>28</xdr:row>
      <xdr:rowOff>0</xdr:rowOff>
    </xdr:from>
    <xdr:to>
      <xdr:col>14</xdr:col>
      <xdr:colOff>600773</xdr:colOff>
      <xdr:row>40</xdr:row>
      <xdr:rowOff>86089</xdr:rowOff>
    </xdr:to>
    <xdr:pic>
      <xdr:nvPicPr>
        <xdr:cNvPr id="12" name="Picture 11">
          <a:extLst>
            <a:ext uri="{FF2B5EF4-FFF2-40B4-BE49-F238E27FC236}">
              <a16:creationId xmlns:a16="http://schemas.microsoft.com/office/drawing/2014/main" id="{9E02FEBE-BB21-42AD-BEF8-4ECAB6B62C60}"/>
            </a:ext>
          </a:extLst>
        </xdr:cNvPr>
        <xdr:cNvPicPr>
          <a:picLocks noChangeAspect="1"/>
        </xdr:cNvPicPr>
      </xdr:nvPicPr>
      <xdr:blipFill>
        <a:blip xmlns:r="http://schemas.openxmlformats.org/officeDocument/2006/relationships" r:embed="rId5"/>
        <a:stretch>
          <a:fillRect/>
        </a:stretch>
      </xdr:blipFill>
      <xdr:spPr>
        <a:xfrm>
          <a:off x="14773275" y="6153150"/>
          <a:ext cx="5001323" cy="2610214"/>
        </a:xfrm>
        <a:prstGeom prst="rect">
          <a:avLst/>
        </a:prstGeom>
      </xdr:spPr>
    </xdr:pic>
    <xdr:clientData/>
  </xdr:twoCellAnchor>
  <xdr:twoCellAnchor editAs="oneCell">
    <xdr:from>
      <xdr:col>14</xdr:col>
      <xdr:colOff>762000</xdr:colOff>
      <xdr:row>27</xdr:row>
      <xdr:rowOff>180975</xdr:rowOff>
    </xdr:from>
    <xdr:to>
      <xdr:col>17</xdr:col>
      <xdr:colOff>1315157</xdr:colOff>
      <xdr:row>45</xdr:row>
      <xdr:rowOff>29071</xdr:rowOff>
    </xdr:to>
    <xdr:pic>
      <xdr:nvPicPr>
        <xdr:cNvPr id="13" name="Picture 12">
          <a:extLst>
            <a:ext uri="{FF2B5EF4-FFF2-40B4-BE49-F238E27FC236}">
              <a16:creationId xmlns:a16="http://schemas.microsoft.com/office/drawing/2014/main" id="{338CDF6F-5D17-4E5D-8C90-AD2F4AB1F708}"/>
            </a:ext>
          </a:extLst>
        </xdr:cNvPr>
        <xdr:cNvPicPr>
          <a:picLocks noChangeAspect="1"/>
        </xdr:cNvPicPr>
      </xdr:nvPicPr>
      <xdr:blipFill>
        <a:blip xmlns:r="http://schemas.openxmlformats.org/officeDocument/2006/relationships" r:embed="rId6"/>
        <a:stretch>
          <a:fillRect/>
        </a:stretch>
      </xdr:blipFill>
      <xdr:spPr>
        <a:xfrm>
          <a:off x="19935825" y="6143625"/>
          <a:ext cx="5068007" cy="3553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AO\WHO\Excel%20voorbeelden\BPM-SMA%208-Best%20Practice%20Model%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Op_Formula_P_MS"/>
      <sheetName val="Keys_SSC"/>
      <sheetName val="Keys_BO"/>
      <sheetName val="Assumptions_SC"/>
      <sheetName val="TS_Ass_SSC"/>
      <sheetName val="TS_BA"/>
      <sheetName val="Fcast_Ass_SSC"/>
      <sheetName val="Fcast_TA"/>
      <sheetName val="Base_OP_SC"/>
      <sheetName val="Fcast_OP_SSC"/>
      <sheetName val="Fcast_TO"/>
      <sheetName val="FS_OP_SSC"/>
      <sheetName val="IS_TO"/>
      <sheetName val="BS_TO"/>
      <sheetName val="CFS_TO"/>
      <sheetName val="Dashboards_SSC"/>
      <sheetName val="BS_Sum_P_MS"/>
      <sheetName val="Appendices_SC"/>
      <sheetName val="Checks_SSC"/>
      <sheetName val="Checks_BO"/>
      <sheetName val="LU_SSC"/>
      <sheetName val="TS_LU"/>
      <sheetName val="Capital_LU"/>
      <sheetName val="Dashboards_LU"/>
    </sheetNames>
    <sheetDataSet>
      <sheetData sheetId="0"/>
      <sheetData sheetId="1"/>
      <sheetData sheetId="2">
        <row r="9">
          <cell r="C9" t="str">
            <v>Overview</v>
          </cell>
        </row>
      </sheetData>
      <sheetData sheetId="3">
        <row r="9">
          <cell r="C9" t="str">
            <v>Notes</v>
          </cell>
        </row>
      </sheetData>
      <sheetData sheetId="4">
        <row r="1">
          <cell r="B1" t="str">
            <v>Model Notes</v>
          </cell>
        </row>
      </sheetData>
      <sheetData sheetId="5">
        <row r="1">
          <cell r="B1" t="str">
            <v>Operational Forecasts - Formula Schematic</v>
          </cell>
        </row>
      </sheetData>
      <sheetData sheetId="6">
        <row r="9">
          <cell r="C9" t="str">
            <v>Keys</v>
          </cell>
        </row>
      </sheetData>
      <sheetData sheetId="7">
        <row r="1">
          <cell r="B1" t="str">
            <v>Keys</v>
          </cell>
        </row>
        <row r="7">
          <cell r="B7" t="str">
            <v>Formats &amp; Styles Key</v>
          </cell>
        </row>
        <row r="54">
          <cell r="B54" t="str">
            <v>Sheet Naming Key</v>
          </cell>
        </row>
        <row r="106">
          <cell r="B106" t="str">
            <v>Range Naming Key</v>
          </cell>
        </row>
      </sheetData>
      <sheetData sheetId="8">
        <row r="9">
          <cell r="C9" t="str">
            <v>Assumptions</v>
          </cell>
        </row>
      </sheetData>
      <sheetData sheetId="9">
        <row r="9">
          <cell r="C9" t="str">
            <v>Time Series Assumptions</v>
          </cell>
        </row>
      </sheetData>
      <sheetData sheetId="10">
        <row r="1">
          <cell r="B1" t="str">
            <v>Time Series Assumptions</v>
          </cell>
        </row>
      </sheetData>
      <sheetData sheetId="11">
        <row r="9">
          <cell r="C9" t="str">
            <v>Forecast Assumptions</v>
          </cell>
        </row>
      </sheetData>
      <sheetData sheetId="12">
        <row r="1">
          <cell r="B1" t="str">
            <v>Assumptions</v>
          </cell>
        </row>
      </sheetData>
      <sheetData sheetId="13"/>
      <sheetData sheetId="14"/>
      <sheetData sheetId="15">
        <row r="12">
          <cell r="J12">
            <v>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ho.int/whopes/resources/9789241513586/e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F731-C441-4D57-83D9-E22D60AF1B54}">
  <sheetPr codeName="Sheet1">
    <tabColor theme="8" tint="0.39997558519241921"/>
  </sheetPr>
  <dimension ref="L2:M4"/>
  <sheetViews>
    <sheetView tabSelected="1" topLeftCell="C1" workbookViewId="0">
      <selection activeCell="M4" sqref="M4"/>
    </sheetView>
  </sheetViews>
  <sheetFormatPr defaultRowHeight="15"/>
  <cols>
    <col min="12" max="12" width="24.7109375" customWidth="1"/>
    <col min="13" max="13" width="12" customWidth="1"/>
  </cols>
  <sheetData>
    <row r="2" spans="12:13">
      <c r="L2" s="4" t="s">
        <v>205</v>
      </c>
      <c r="M2" s="82" t="s">
        <v>357</v>
      </c>
    </row>
    <row r="3" spans="12:13">
      <c r="L3" s="4" t="s">
        <v>204</v>
      </c>
      <c r="M3" s="82" t="s">
        <v>356</v>
      </c>
    </row>
    <row r="4" spans="12:13">
      <c r="L4" s="4" t="s">
        <v>203</v>
      </c>
      <c r="M4" s="47" t="s">
        <v>368</v>
      </c>
    </row>
  </sheetData>
  <sheetProtection algorithmName="SHA-512" hashValue="iSjUjGY/1pNcf4w09/6hY9L1VcB7AuxkaN1mGeqkgdAXHjATYCGvph94QUAu0KW/an+qY2trX4I4ZNOtcPf7Tg==" saltValue="TUsxtrdU42SfAdqbAyyX3w==" spinCount="100000" sheet="1" objects="1" scenarios="1"/>
  <hyperlinks>
    <hyperlink ref="M3" r:id="rId1" xr:uid="{6950F02E-5752-4AE1-AC0A-DFDB0D85C9F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BFF9-F275-4248-A714-23D3FC6E0007}">
  <sheetPr codeName="Sheet10">
    <tabColor theme="5"/>
  </sheetPr>
  <dimension ref="B1:H49"/>
  <sheetViews>
    <sheetView workbookViewId="0"/>
  </sheetViews>
  <sheetFormatPr defaultRowHeight="12.75"/>
  <cols>
    <col min="1" max="1" width="9.140625" style="29"/>
    <col min="2" max="2" width="30.7109375" style="29" bestFit="1" customWidth="1"/>
    <col min="3" max="3" width="12" style="29" customWidth="1"/>
    <col min="4" max="16384" width="9.140625" style="29"/>
  </cols>
  <sheetData>
    <row r="1" spans="2:7" ht="15">
      <c r="B1" s="4" t="s">
        <v>320</v>
      </c>
      <c r="C1" s="125" t="s">
        <v>356</v>
      </c>
      <c r="D1"/>
      <c r="E1"/>
      <c r="F1"/>
    </row>
    <row r="4" spans="2:7">
      <c r="B4" s="26" t="s">
        <v>15</v>
      </c>
    </row>
    <row r="6" spans="2:7" ht="25.5">
      <c r="B6" s="26"/>
      <c r="C6" s="27" t="s">
        <v>16</v>
      </c>
      <c r="D6" s="27" t="s">
        <v>17</v>
      </c>
      <c r="E6" s="27" t="s">
        <v>18</v>
      </c>
      <c r="F6" s="27" t="s">
        <v>19</v>
      </c>
      <c r="G6" s="27" t="s">
        <v>38</v>
      </c>
    </row>
    <row r="7" spans="2:7">
      <c r="B7" s="27" t="s">
        <v>332</v>
      </c>
      <c r="C7" s="28">
        <v>60</v>
      </c>
      <c r="D7" s="28">
        <v>23.9</v>
      </c>
      <c r="E7" s="28">
        <v>10</v>
      </c>
      <c r="F7" s="28">
        <v>8</v>
      </c>
      <c r="G7" s="28">
        <v>4.2</v>
      </c>
    </row>
    <row r="8" spans="2:7">
      <c r="C8" s="37" t="s">
        <v>196</v>
      </c>
    </row>
    <row r="12" spans="2:7">
      <c r="B12" s="46" t="s">
        <v>201</v>
      </c>
    </row>
    <row r="13" spans="2:7" ht="25.5">
      <c r="C13" s="27" t="s">
        <v>16</v>
      </c>
      <c r="D13" s="27" t="s">
        <v>17</v>
      </c>
      <c r="E13" s="27" t="s">
        <v>18</v>
      </c>
      <c r="F13" s="27" t="s">
        <v>19</v>
      </c>
      <c r="G13" s="27" t="s">
        <v>38</v>
      </c>
    </row>
    <row r="14" spans="2:7" ht="25.5">
      <c r="B14" s="32" t="s">
        <v>197</v>
      </c>
      <c r="C14" s="90">
        <v>0.28999999999999998</v>
      </c>
      <c r="D14" s="91">
        <v>0.27</v>
      </c>
      <c r="E14" s="91">
        <v>0.27</v>
      </c>
      <c r="F14" s="91">
        <v>0.18</v>
      </c>
      <c r="G14" s="91" t="s">
        <v>199</v>
      </c>
    </row>
    <row r="15" spans="2:7">
      <c r="B15" s="46" t="s">
        <v>198</v>
      </c>
      <c r="C15" s="45">
        <v>9</v>
      </c>
      <c r="D15" s="45">
        <v>10</v>
      </c>
      <c r="E15" s="45">
        <v>12</v>
      </c>
      <c r="F15" s="45">
        <v>13</v>
      </c>
      <c r="G15" s="45" t="s">
        <v>199</v>
      </c>
    </row>
    <row r="16" spans="2:7">
      <c r="C16" s="44" t="s">
        <v>164</v>
      </c>
    </row>
    <row r="17" spans="2:8">
      <c r="C17" s="37" t="s">
        <v>163</v>
      </c>
    </row>
    <row r="21" spans="2:8">
      <c r="B21" s="26" t="s">
        <v>160</v>
      </c>
    </row>
    <row r="22" spans="2:8">
      <c r="C22" s="28" t="s">
        <v>16</v>
      </c>
      <c r="D22" s="28" t="s">
        <v>74</v>
      </c>
      <c r="E22" s="28" t="s">
        <v>75</v>
      </c>
      <c r="F22" s="28" t="s">
        <v>43</v>
      </c>
    </row>
    <row r="23" spans="2:8">
      <c r="B23" s="28" t="s">
        <v>76</v>
      </c>
      <c r="C23" s="28">
        <v>0.19</v>
      </c>
      <c r="D23" s="28">
        <v>0.113</v>
      </c>
      <c r="E23" s="28">
        <v>0.06</v>
      </c>
      <c r="F23" s="28">
        <v>5.0999999999999997E-2</v>
      </c>
    </row>
    <row r="24" spans="2:8" ht="15">
      <c r="B24" s="28" t="s">
        <v>77</v>
      </c>
      <c r="C24" s="28">
        <v>2.7E-2</v>
      </c>
      <c r="D24" s="28">
        <v>1.4E-2</v>
      </c>
      <c r="E24" s="31">
        <v>8.0000000000000002E-3</v>
      </c>
      <c r="F24" s="31">
        <v>7.0000000000000001E-3</v>
      </c>
      <c r="H24" s="29" t="s">
        <v>161</v>
      </c>
    </row>
    <row r="25" spans="2:8">
      <c r="B25" s="28" t="s">
        <v>78</v>
      </c>
      <c r="C25" s="28">
        <v>7.5999999999999998E-2</v>
      </c>
      <c r="D25" s="28">
        <v>4.2000000000000003E-2</v>
      </c>
      <c r="E25" s="28">
        <v>2.1000000000000001E-2</v>
      </c>
      <c r="F25" s="28">
        <v>1.9E-2</v>
      </c>
    </row>
    <row r="26" spans="2:8">
      <c r="B26" s="28" t="s">
        <v>79</v>
      </c>
      <c r="C26" s="28">
        <v>7.6999999999999999E-2</v>
      </c>
      <c r="D26" s="28">
        <v>3.5999999999999997E-2</v>
      </c>
      <c r="E26" s="28">
        <v>1.7999999999999999E-2</v>
      </c>
      <c r="F26" s="28">
        <v>1.4999999999999999E-2</v>
      </c>
    </row>
    <row r="27" spans="2:8">
      <c r="B27" s="28" t="s">
        <v>80</v>
      </c>
      <c r="C27" s="28">
        <v>3.7999999999999999E-2</v>
      </c>
      <c r="D27" s="28">
        <v>0.02</v>
      </c>
      <c r="E27" s="28">
        <v>0.01</v>
      </c>
      <c r="F27" s="28">
        <v>8.0000000000000002E-3</v>
      </c>
    </row>
    <row r="28" spans="2:8" ht="15">
      <c r="B28" s="28" t="s">
        <v>81</v>
      </c>
      <c r="C28" s="31">
        <v>0.40799999999999997</v>
      </c>
      <c r="D28" s="31">
        <v>0.22500000000000001</v>
      </c>
      <c r="E28" s="31">
        <v>0.115</v>
      </c>
      <c r="F28" s="31">
        <v>0.1</v>
      </c>
      <c r="H28" s="29" t="s">
        <v>162</v>
      </c>
    </row>
    <row r="29" spans="2:8">
      <c r="B29" s="30" t="s">
        <v>200</v>
      </c>
    </row>
    <row r="30" spans="2:8">
      <c r="B30" s="67" t="s">
        <v>202</v>
      </c>
    </row>
    <row r="34" spans="2:4" ht="15">
      <c r="B34" s="26" t="s">
        <v>325</v>
      </c>
      <c r="C34"/>
      <c r="D34"/>
    </row>
    <row r="35" spans="2:4" ht="15">
      <c r="B35" s="26" t="s">
        <v>308</v>
      </c>
      <c r="C35"/>
      <c r="D35"/>
    </row>
    <row r="36" spans="2:4" ht="51">
      <c r="B36" s="28" t="s">
        <v>309</v>
      </c>
      <c r="C36" s="28" t="s">
        <v>310</v>
      </c>
      <c r="D36"/>
    </row>
    <row r="37" spans="2:4" ht="15">
      <c r="B37" s="28" t="s">
        <v>311</v>
      </c>
      <c r="C37" s="85">
        <v>0.01</v>
      </c>
      <c r="D37"/>
    </row>
    <row r="38" spans="2:4" ht="15">
      <c r="B38" s="28" t="s">
        <v>312</v>
      </c>
      <c r="C38" s="85">
        <v>0.01</v>
      </c>
      <c r="D38"/>
    </row>
    <row r="39" spans="2:4" ht="15">
      <c r="B39" s="28" t="s">
        <v>313</v>
      </c>
      <c r="C39" s="85">
        <v>0.2</v>
      </c>
      <c r="D39"/>
    </row>
    <row r="40" spans="2:4" ht="15">
      <c r="B40" s="28" t="s">
        <v>314</v>
      </c>
      <c r="C40" s="85">
        <v>0.01</v>
      </c>
      <c r="D40"/>
    </row>
    <row r="41" spans="2:4" ht="15">
      <c r="B41" s="28" t="s">
        <v>315</v>
      </c>
      <c r="C41" s="85">
        <v>0.5</v>
      </c>
      <c r="D41"/>
    </row>
    <row r="42" spans="2:4" ht="15">
      <c r="B42" s="28" t="s">
        <v>316</v>
      </c>
      <c r="C42" s="85">
        <v>0.1</v>
      </c>
      <c r="D42"/>
    </row>
    <row r="43" spans="2:4" ht="15">
      <c r="B43" s="28" t="s">
        <v>317</v>
      </c>
      <c r="C43" s="85">
        <v>0.05</v>
      </c>
      <c r="D43"/>
    </row>
    <row r="44" spans="2:4" ht="15">
      <c r="B44" s="28" t="s">
        <v>318</v>
      </c>
      <c r="C44" s="85">
        <v>0.5</v>
      </c>
      <c r="D44"/>
    </row>
    <row r="45" spans="2:4" ht="15">
      <c r="B45" s="28" t="s">
        <v>319</v>
      </c>
      <c r="C45" s="85">
        <v>0.05</v>
      </c>
      <c r="D45"/>
    </row>
    <row r="46" spans="2:4" ht="15">
      <c r="B46" s="86"/>
      <c r="C46"/>
      <c r="D46"/>
    </row>
    <row r="47" spans="2:4" ht="15">
      <c r="B47" s="108" t="s">
        <v>140</v>
      </c>
      <c r="C47" s="108" t="s">
        <v>354</v>
      </c>
    </row>
    <row r="48" spans="2:4" ht="15">
      <c r="B48" s="109" t="s">
        <v>342</v>
      </c>
      <c r="C48" s="109">
        <v>1000</v>
      </c>
    </row>
    <row r="49" spans="2:3" ht="15">
      <c r="B49" s="109" t="s">
        <v>355</v>
      </c>
      <c r="C49" s="109">
        <v>1</v>
      </c>
    </row>
  </sheetData>
  <sheetProtection algorithmName="SHA-512" hashValue="4HB5pxuEtou8pd6UM76igA+xcTvFYZ03fPn4KKz4rn6jC7TWJYJLUola26mlcPWzVM1Px3coJ6AQPZTfIrmmiQ==" saltValue="keFKdF0Jw1bG65zcOnmtk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9AF-1EF0-444A-A7C9-3C7E11F64FAA}">
  <sheetPr codeName="Sheet2">
    <tabColor theme="3"/>
  </sheetPr>
  <dimension ref="A1"/>
  <sheetViews>
    <sheetView workbookViewId="0"/>
  </sheetViews>
  <sheetFormatPr defaultRowHeight="15"/>
  <sheetData/>
  <sheetProtection algorithmName="SHA-512" hashValue="peetUYHfPk5UaOkPmX/rSbP8Pv3JM36JNelhhiZuewDamPYzgDmCYm9iuIle9IF4y4chsqKE9f8TnbjNKIdGJQ==" saltValue="HUjIniiU1jPtEonUq5Vtj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B177-1E97-48EB-91B9-40A7652611AB}">
  <sheetPr codeName="Sheet3">
    <tabColor theme="3"/>
  </sheetPr>
  <dimension ref="B1:E20"/>
  <sheetViews>
    <sheetView workbookViewId="0"/>
  </sheetViews>
  <sheetFormatPr defaultRowHeight="15"/>
  <cols>
    <col min="1" max="1" width="9.140625" style="50"/>
    <col min="2" max="2" width="23.140625" style="50" customWidth="1"/>
    <col min="3" max="3" width="67.28515625" style="50" customWidth="1"/>
    <col min="4" max="4" width="9.140625" style="50"/>
    <col min="5" max="5" width="25.5703125" style="50" customWidth="1"/>
    <col min="6" max="16384" width="9.140625" style="50"/>
  </cols>
  <sheetData>
    <row r="1" spans="2:5" ht="15.75" thickBot="1">
      <c r="B1" s="48" t="s">
        <v>187</v>
      </c>
      <c r="C1" s="49"/>
      <c r="E1" s="48" t="s">
        <v>188</v>
      </c>
    </row>
    <row r="2" spans="2:5">
      <c r="B2" s="51" t="s">
        <v>52</v>
      </c>
      <c r="C2" s="52" t="s">
        <v>0</v>
      </c>
      <c r="E2" s="43" t="s">
        <v>358</v>
      </c>
    </row>
    <row r="3" spans="2:5">
      <c r="B3" s="51" t="s">
        <v>53</v>
      </c>
      <c r="C3" s="52" t="s">
        <v>1</v>
      </c>
      <c r="E3" s="122" t="s">
        <v>359</v>
      </c>
    </row>
    <row r="4" spans="2:5">
      <c r="B4" s="51" t="s">
        <v>54</v>
      </c>
      <c r="C4" s="52" t="s">
        <v>2</v>
      </c>
      <c r="E4" s="123" t="s">
        <v>360</v>
      </c>
    </row>
    <row r="5" spans="2:5" ht="30">
      <c r="B5" s="51" t="s">
        <v>55</v>
      </c>
      <c r="C5" s="52" t="s">
        <v>56</v>
      </c>
      <c r="E5" s="53" t="s">
        <v>189</v>
      </c>
    </row>
    <row r="6" spans="2:5" ht="30.75" thickBot="1">
      <c r="B6" s="51" t="s">
        <v>57</v>
      </c>
      <c r="C6" s="52" t="s">
        <v>58</v>
      </c>
      <c r="E6" s="54" t="s">
        <v>191</v>
      </c>
    </row>
    <row r="7" spans="2:5" ht="30.75" thickTop="1">
      <c r="B7" s="51" t="s">
        <v>59</v>
      </c>
      <c r="C7" s="52" t="s">
        <v>60</v>
      </c>
      <c r="E7" s="124" t="s">
        <v>361</v>
      </c>
    </row>
    <row r="8" spans="2:5">
      <c r="B8" s="51" t="s">
        <v>61</v>
      </c>
      <c r="C8" s="52" t="s">
        <v>62</v>
      </c>
    </row>
    <row r="9" spans="2:5">
      <c r="B9" s="51" t="s">
        <v>8</v>
      </c>
      <c r="C9" s="52" t="s">
        <v>63</v>
      </c>
    </row>
    <row r="10" spans="2:5">
      <c r="B10" s="51" t="s">
        <v>7</v>
      </c>
      <c r="C10" s="52" t="s">
        <v>64</v>
      </c>
    </row>
    <row r="11" spans="2:5">
      <c r="B11" s="51" t="s">
        <v>11</v>
      </c>
      <c r="C11" s="52" t="s">
        <v>3</v>
      </c>
    </row>
    <row r="12" spans="2:5">
      <c r="B12" s="51" t="s">
        <v>65</v>
      </c>
      <c r="C12" s="52" t="s">
        <v>51</v>
      </c>
    </row>
    <row r="13" spans="2:5">
      <c r="B13" s="51" t="s">
        <v>66</v>
      </c>
      <c r="C13" s="52" t="s">
        <v>4</v>
      </c>
    </row>
    <row r="14" spans="2:5">
      <c r="B14" s="51" t="s">
        <v>9</v>
      </c>
      <c r="C14" s="52" t="s">
        <v>5</v>
      </c>
    </row>
    <row r="15" spans="2:5">
      <c r="B15" s="52"/>
      <c r="C15" s="52"/>
    </row>
    <row r="16" spans="2:5">
      <c r="B16" s="52"/>
      <c r="C16" s="52"/>
    </row>
    <row r="17" spans="2:3">
      <c r="B17" s="52"/>
      <c r="C17" s="52"/>
    </row>
    <row r="18" spans="2:3">
      <c r="B18" s="52"/>
      <c r="C18" s="52"/>
    </row>
    <row r="19" spans="2:3">
      <c r="B19" s="52"/>
      <c r="C19" s="52"/>
    </row>
    <row r="20" spans="2:3">
      <c r="B20" s="52"/>
      <c r="C20" s="52"/>
    </row>
  </sheetData>
  <sheetProtection algorithmName="SHA-512" hashValue="guT2B92jmpCmc45hEaNVnpwKInGpp5PfLYGzlK7GpwSUsMQfV4PcktKFCPTZnn4WGEVxGiD0YoxCjRUigDJCBA==" saltValue="E4TS9sCyzxDcqh1LUeF6hg=="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E3B7E-CA14-4394-A6A9-42D08F9FD6B8}">
  <sheetPr codeName="Sheet4">
    <tabColor theme="9"/>
  </sheetPr>
  <dimension ref="A1:N80"/>
  <sheetViews>
    <sheetView zoomScaleNormal="100" workbookViewId="0"/>
  </sheetViews>
  <sheetFormatPr defaultRowHeight="15"/>
  <cols>
    <col min="1" max="1" width="11.140625" style="23" customWidth="1"/>
    <col min="2" max="2" width="11.7109375" customWidth="1"/>
    <col min="3" max="3" width="12.42578125" style="23" customWidth="1"/>
    <col min="4" max="4" width="41.85546875" customWidth="1"/>
    <col min="5" max="5" width="25.85546875" customWidth="1"/>
    <col min="6" max="6" width="13.5703125" style="4" bestFit="1" customWidth="1"/>
    <col min="8" max="8" width="43" style="17" customWidth="1"/>
    <col min="9" max="9" width="11.28515625" customWidth="1"/>
    <col min="10" max="10" width="23.85546875" customWidth="1"/>
    <col min="11" max="11" width="15.5703125" customWidth="1"/>
  </cols>
  <sheetData>
    <row r="1" spans="1:14" s="17" customFormat="1">
      <c r="A1" s="17" t="s">
        <v>182</v>
      </c>
      <c r="C1" s="17" t="s">
        <v>184</v>
      </c>
      <c r="D1" s="17" t="s">
        <v>183</v>
      </c>
      <c r="E1" s="17" t="s">
        <v>139</v>
      </c>
      <c r="F1" s="17" t="s">
        <v>140</v>
      </c>
      <c r="H1" s="17" t="s">
        <v>159</v>
      </c>
      <c r="J1"/>
    </row>
    <row r="2" spans="1:14" s="17" customFormat="1">
      <c r="I2" s="113"/>
      <c r="J2"/>
    </row>
    <row r="3" spans="1:14" s="17" customFormat="1" ht="21">
      <c r="B3" s="15" t="s">
        <v>195</v>
      </c>
      <c r="D3" s="114"/>
      <c r="F3" s="41"/>
      <c r="I3"/>
      <c r="J3"/>
      <c r="K3"/>
      <c r="L3"/>
      <c r="M3"/>
      <c r="N3"/>
    </row>
    <row r="4" spans="1:14">
      <c r="B4" s="7" t="s">
        <v>134</v>
      </c>
    </row>
    <row r="5" spans="1:14">
      <c r="D5" t="s">
        <v>132</v>
      </c>
      <c r="E5" s="119" t="s">
        <v>68</v>
      </c>
    </row>
    <row r="7" spans="1:14">
      <c r="B7" s="7" t="s">
        <v>133</v>
      </c>
      <c r="E7" s="23" t="s">
        <v>139</v>
      </c>
      <c r="F7" s="5" t="s">
        <v>140</v>
      </c>
    </row>
    <row r="8" spans="1:14">
      <c r="C8" s="23" t="s">
        <v>135</v>
      </c>
      <c r="D8" t="s">
        <v>12</v>
      </c>
      <c r="E8" s="119">
        <v>505.2</v>
      </c>
      <c r="F8" s="22" t="s">
        <v>6</v>
      </c>
    </row>
    <row r="9" spans="1:14">
      <c r="C9" s="23" t="s">
        <v>136</v>
      </c>
      <c r="D9" t="s">
        <v>13</v>
      </c>
      <c r="E9" s="95">
        <v>3.8999999999999999E-6</v>
      </c>
      <c r="F9" s="4" t="s">
        <v>14</v>
      </c>
    </row>
    <row r="11" spans="1:14">
      <c r="B11" s="7" t="s">
        <v>138</v>
      </c>
    </row>
    <row r="12" spans="1:14" ht="18">
      <c r="C12" s="23" t="s">
        <v>152</v>
      </c>
      <c r="D12" t="s">
        <v>90</v>
      </c>
      <c r="E12" s="42">
        <v>0.75</v>
      </c>
      <c r="F12" s="4" t="s">
        <v>10</v>
      </c>
      <c r="H12" s="17" t="s">
        <v>22</v>
      </c>
    </row>
    <row r="13" spans="1:14" ht="18">
      <c r="B13" t="s">
        <v>142</v>
      </c>
      <c r="C13" s="23" t="s">
        <v>154</v>
      </c>
      <c r="D13" t="s">
        <v>20</v>
      </c>
      <c r="E13" s="42">
        <v>1</v>
      </c>
      <c r="F13" s="4" t="s">
        <v>10</v>
      </c>
      <c r="H13" s="17" t="s">
        <v>22</v>
      </c>
    </row>
    <row r="14" spans="1:14" ht="46.5">
      <c r="C14" s="23" t="s">
        <v>153</v>
      </c>
      <c r="D14" t="s">
        <v>21</v>
      </c>
      <c r="E14" s="42">
        <v>0.1</v>
      </c>
      <c r="F14" s="4" t="s">
        <v>10</v>
      </c>
      <c r="H14" s="107" t="s">
        <v>353</v>
      </c>
    </row>
    <row r="15" spans="1:14">
      <c r="G15" t="s">
        <v>125</v>
      </c>
    </row>
    <row r="16" spans="1:14">
      <c r="B16" s="23" t="s">
        <v>221</v>
      </c>
      <c r="C16" s="23" t="s">
        <v>52</v>
      </c>
      <c r="D16" t="s">
        <v>0</v>
      </c>
      <c r="E16" s="95">
        <v>0.01</v>
      </c>
      <c r="F16" s="24" t="s">
        <v>333</v>
      </c>
      <c r="G16" s="95"/>
    </row>
    <row r="17" spans="1:8">
      <c r="C17" s="23" t="s">
        <v>54</v>
      </c>
      <c r="D17" t="s">
        <v>2</v>
      </c>
      <c r="E17" s="95">
        <v>0.05</v>
      </c>
      <c r="F17" s="24" t="s">
        <v>333</v>
      </c>
      <c r="G17" s="95"/>
    </row>
    <row r="18" spans="1:8">
      <c r="B18" s="23" t="s">
        <v>218</v>
      </c>
      <c r="C18" s="23" t="s">
        <v>7</v>
      </c>
      <c r="D18" s="52" t="s">
        <v>219</v>
      </c>
      <c r="E18" s="95"/>
      <c r="F18" s="24"/>
      <c r="G18" s="95"/>
    </row>
    <row r="19" spans="1:8">
      <c r="C19" s="23" t="s">
        <v>9</v>
      </c>
      <c r="D19" s="70" t="s">
        <v>5</v>
      </c>
      <c r="E19" s="43">
        <v>100</v>
      </c>
      <c r="F19" s="22" t="s">
        <v>6</v>
      </c>
      <c r="G19" s="95"/>
      <c r="H19" s="17" t="s">
        <v>220</v>
      </c>
    </row>
    <row r="20" spans="1:8" ht="18">
      <c r="C20" s="23" t="s">
        <v>298</v>
      </c>
      <c r="D20" s="52" t="s">
        <v>299</v>
      </c>
      <c r="E20" s="95"/>
      <c r="F20" s="24"/>
      <c r="G20" s="95"/>
    </row>
    <row r="21" spans="1:8" ht="18">
      <c r="C21" s="23" t="s">
        <v>300</v>
      </c>
      <c r="D21" s="70" t="s">
        <v>301</v>
      </c>
      <c r="E21" s="43">
        <v>100</v>
      </c>
      <c r="F21" s="22" t="s">
        <v>6</v>
      </c>
      <c r="G21" s="95"/>
      <c r="H21" s="17" t="s">
        <v>220</v>
      </c>
    </row>
    <row r="23" spans="1:8">
      <c r="B23" s="25"/>
      <c r="C23" s="23" t="s">
        <v>11</v>
      </c>
      <c r="D23" s="1" t="s">
        <v>3</v>
      </c>
      <c r="E23" s="83">
        <f>IF($E$16&gt;0,$E$12*$E$16,$E$12*$E$18/$E$19)</f>
        <v>7.4999999999999997E-3</v>
      </c>
      <c r="F23" s="24" t="s">
        <v>333</v>
      </c>
    </row>
    <row r="24" spans="1:8" ht="18">
      <c r="C24" s="23" t="s">
        <v>146</v>
      </c>
      <c r="D24" s="1" t="s">
        <v>51</v>
      </c>
      <c r="E24" s="83">
        <f>IF(E17&gt;0,$E$12*$E$17,$E$12*$E$20/$E$21)</f>
        <v>3.7500000000000006E-2</v>
      </c>
      <c r="F24" s="24" t="s">
        <v>352</v>
      </c>
    </row>
    <row r="27" spans="1:8">
      <c r="B27" s="7" t="s">
        <v>141</v>
      </c>
    </row>
    <row r="28" spans="1:8">
      <c r="B28" s="7" t="s">
        <v>91</v>
      </c>
    </row>
    <row r="29" spans="1:8">
      <c r="A29" s="23" t="s">
        <v>177</v>
      </c>
      <c r="C29" s="23" t="s">
        <v>27</v>
      </c>
      <c r="D29" s="18" t="s">
        <v>72</v>
      </c>
      <c r="E29" s="42">
        <v>0.02</v>
      </c>
      <c r="F29" s="4" t="s">
        <v>10</v>
      </c>
      <c r="H29" s="17" t="s">
        <v>73</v>
      </c>
    </row>
    <row r="30" spans="1:8">
      <c r="A30" s="17"/>
      <c r="D30" t="s">
        <v>84</v>
      </c>
      <c r="E30" s="121">
        <v>0.93500000000000005</v>
      </c>
      <c r="F30" s="4" t="s">
        <v>10</v>
      </c>
      <c r="H30" s="17" t="s">
        <v>336</v>
      </c>
    </row>
    <row r="31" spans="1:8" ht="30">
      <c r="C31" s="23" t="s">
        <v>83</v>
      </c>
      <c r="D31" s="18" t="s">
        <v>82</v>
      </c>
      <c r="E31" s="16">
        <f>1-Input!E30</f>
        <v>6.4999999999999947E-2</v>
      </c>
      <c r="F31" s="4" t="s">
        <v>10</v>
      </c>
    </row>
    <row r="32" spans="1:8" ht="17.25">
      <c r="C32" s="23" t="s">
        <v>85</v>
      </c>
      <c r="D32" s="18" t="s">
        <v>86</v>
      </c>
      <c r="E32" s="92">
        <v>55.5</v>
      </c>
      <c r="F32" s="4" t="s">
        <v>89</v>
      </c>
      <c r="H32" s="17" t="s">
        <v>334</v>
      </c>
    </row>
    <row r="33" spans="1:8">
      <c r="D33" s="18" t="s">
        <v>87</v>
      </c>
      <c r="E33" s="20">
        <v>0.25</v>
      </c>
      <c r="F33" s="4" t="s">
        <v>10</v>
      </c>
      <c r="H33" s="17" t="s">
        <v>290</v>
      </c>
    </row>
    <row r="34" spans="1:8" ht="30">
      <c r="C34" s="23" t="s">
        <v>364</v>
      </c>
      <c r="D34" s="18" t="s">
        <v>88</v>
      </c>
      <c r="E34" s="21">
        <f>E32*(1+E33)</f>
        <v>69.375</v>
      </c>
      <c r="F34" s="4" t="s">
        <v>89</v>
      </c>
    </row>
    <row r="35" spans="1:8">
      <c r="B35" s="7" t="s">
        <v>92</v>
      </c>
    </row>
    <row r="36" spans="1:8">
      <c r="A36" s="23" t="s">
        <v>178</v>
      </c>
      <c r="C36" s="23" t="s">
        <v>93</v>
      </c>
      <c r="D36" s="18" t="s">
        <v>94</v>
      </c>
      <c r="E36" s="94">
        <v>0.56999999999999995</v>
      </c>
      <c r="F36" s="22" t="s">
        <v>6</v>
      </c>
      <c r="H36" s="17" t="s">
        <v>303</v>
      </c>
    </row>
    <row r="37" spans="1:8" ht="18">
      <c r="C37" s="23" t="s">
        <v>147</v>
      </c>
      <c r="D37" t="s">
        <v>34</v>
      </c>
      <c r="E37" s="94">
        <v>0.16400000000000001</v>
      </c>
      <c r="F37" s="22" t="s">
        <v>6</v>
      </c>
      <c r="H37" s="17" t="s">
        <v>271</v>
      </c>
    </row>
    <row r="38" spans="1:8">
      <c r="D38" s="18"/>
      <c r="E38" s="18"/>
      <c r="F38" s="115"/>
    </row>
    <row r="39" spans="1:8">
      <c r="A39" s="23" t="s">
        <v>175</v>
      </c>
      <c r="C39" s="23" t="s">
        <v>95</v>
      </c>
      <c r="D39" s="18" t="s">
        <v>222</v>
      </c>
      <c r="E39" s="93">
        <v>1.4E-3</v>
      </c>
      <c r="F39" s="115" t="s">
        <v>108</v>
      </c>
      <c r="G39" s="71"/>
      <c r="H39" s="17" t="s">
        <v>302</v>
      </c>
    </row>
    <row r="40" spans="1:8">
      <c r="B40" s="18"/>
      <c r="D40" s="116"/>
      <c r="F40" s="24"/>
    </row>
    <row r="41" spans="1:8">
      <c r="A41" s="23" t="s">
        <v>179</v>
      </c>
      <c r="C41" s="23" t="s">
        <v>101</v>
      </c>
      <c r="D41" t="s">
        <v>304</v>
      </c>
      <c r="E41" s="118">
        <v>6.666666666666667</v>
      </c>
      <c r="F41" s="22" t="s">
        <v>6</v>
      </c>
      <c r="H41" s="17" t="s">
        <v>291</v>
      </c>
    </row>
    <row r="42" spans="1:8">
      <c r="C42" s="23" t="s">
        <v>102</v>
      </c>
      <c r="D42" t="s">
        <v>305</v>
      </c>
      <c r="E42" s="43">
        <v>5</v>
      </c>
      <c r="F42" s="22" t="s">
        <v>6</v>
      </c>
      <c r="H42" s="17" t="s">
        <v>292</v>
      </c>
    </row>
    <row r="44" spans="1:8">
      <c r="C44" s="23" t="s">
        <v>104</v>
      </c>
      <c r="D44" t="s">
        <v>106</v>
      </c>
      <c r="E44" s="43">
        <v>36.700000000000003</v>
      </c>
      <c r="F44" s="4" t="s">
        <v>103</v>
      </c>
      <c r="H44" s="17" t="s">
        <v>293</v>
      </c>
    </row>
    <row r="45" spans="1:8">
      <c r="C45" s="23" t="s">
        <v>105</v>
      </c>
      <c r="D45" t="s">
        <v>106</v>
      </c>
      <c r="E45" s="43">
        <v>17.600000000000001</v>
      </c>
      <c r="F45" s="4" t="s">
        <v>103</v>
      </c>
      <c r="H45" s="17" t="s">
        <v>294</v>
      </c>
    </row>
    <row r="47" spans="1:8">
      <c r="C47" s="23" t="s">
        <v>107</v>
      </c>
      <c r="D47" t="s">
        <v>223</v>
      </c>
      <c r="E47" s="95">
        <v>15</v>
      </c>
      <c r="F47" s="4" t="s">
        <v>108</v>
      </c>
    </row>
    <row r="48" spans="1:8">
      <c r="C48" s="23" t="s">
        <v>109</v>
      </c>
      <c r="D48" t="s">
        <v>224</v>
      </c>
      <c r="E48" s="43">
        <v>4000</v>
      </c>
      <c r="F48" s="4" t="s">
        <v>103</v>
      </c>
      <c r="H48" s="17" t="s">
        <v>295</v>
      </c>
    </row>
    <row r="49" spans="1:8">
      <c r="C49" s="23" t="s">
        <v>23</v>
      </c>
      <c r="D49" t="s">
        <v>225</v>
      </c>
      <c r="E49" s="43">
        <v>365</v>
      </c>
      <c r="F49" s="4" t="s">
        <v>110</v>
      </c>
      <c r="H49" s="17" t="s">
        <v>335</v>
      </c>
    </row>
    <row r="51" spans="1:8">
      <c r="A51" s="23" t="s">
        <v>180</v>
      </c>
      <c r="C51" s="23" t="s">
        <v>113</v>
      </c>
      <c r="D51" t="s">
        <v>143</v>
      </c>
      <c r="E51" s="43">
        <v>8.1999999999999993</v>
      </c>
      <c r="F51" s="4" t="s">
        <v>103</v>
      </c>
      <c r="H51" s="17" t="s">
        <v>330</v>
      </c>
    </row>
    <row r="52" spans="1:8">
      <c r="C52" s="23" t="s">
        <v>114</v>
      </c>
      <c r="D52" t="s">
        <v>115</v>
      </c>
      <c r="E52" s="43">
        <v>4.3</v>
      </c>
      <c r="F52" s="4" t="s">
        <v>103</v>
      </c>
      <c r="H52" s="17" t="s">
        <v>331</v>
      </c>
    </row>
    <row r="54" spans="1:8">
      <c r="B54" s="7" t="s">
        <v>144</v>
      </c>
      <c r="D54" s="5" t="s">
        <v>366</v>
      </c>
      <c r="H54" s="17" t="s">
        <v>367</v>
      </c>
    </row>
    <row r="55" spans="1:8" ht="18">
      <c r="A55" s="23" t="s">
        <v>181</v>
      </c>
      <c r="B55" s="126" t="s">
        <v>221</v>
      </c>
      <c r="C55" s="23" t="s">
        <v>148</v>
      </c>
      <c r="E55" s="95">
        <v>5.0000000000000001E-3</v>
      </c>
      <c r="F55" s="22" t="s">
        <v>6</v>
      </c>
    </row>
    <row r="56" spans="1:8">
      <c r="C56" s="23" t="s">
        <v>9</v>
      </c>
      <c r="E56" s="43">
        <v>3.98</v>
      </c>
      <c r="H56" s="17" t="s">
        <v>296</v>
      </c>
    </row>
    <row r="57" spans="1:8">
      <c r="C57" s="17" t="s">
        <v>127</v>
      </c>
    </row>
    <row r="58" spans="1:8" ht="17.25">
      <c r="A58" s="23" t="s">
        <v>186</v>
      </c>
      <c r="B58" s="126" t="s">
        <v>218</v>
      </c>
      <c r="C58" s="23" t="s">
        <v>37</v>
      </c>
      <c r="D58" s="18" t="s">
        <v>306</v>
      </c>
      <c r="E58" s="43">
        <v>0.66</v>
      </c>
      <c r="F58" s="3" t="s">
        <v>128</v>
      </c>
      <c r="H58" s="17" t="s">
        <v>337</v>
      </c>
    </row>
    <row r="59" spans="1:8">
      <c r="C59" s="23" t="s">
        <v>35</v>
      </c>
      <c r="D59" t="s">
        <v>130</v>
      </c>
      <c r="E59" s="117">
        <v>2.02</v>
      </c>
      <c r="H59" s="17" t="s">
        <v>362</v>
      </c>
    </row>
    <row r="60" spans="1:8" ht="31.5">
      <c r="C60" s="23" t="s">
        <v>145</v>
      </c>
      <c r="D60" s="18" t="s">
        <v>137</v>
      </c>
      <c r="E60" s="95"/>
      <c r="F60" s="4" t="s">
        <v>36</v>
      </c>
      <c r="H60" s="17" t="s">
        <v>217</v>
      </c>
    </row>
    <row r="62" spans="1:8">
      <c r="A62" s="77" t="s">
        <v>289</v>
      </c>
      <c r="B62" s="78"/>
      <c r="C62" s="79"/>
      <c r="D62" s="78"/>
      <c r="E62" s="78"/>
      <c r="F62" s="80"/>
      <c r="G62" s="78"/>
      <c r="H62" s="84"/>
    </row>
    <row r="63" spans="1:8">
      <c r="D63" t="s">
        <v>281</v>
      </c>
      <c r="E63" s="117" t="s">
        <v>282</v>
      </c>
      <c r="F63" s="17" t="s">
        <v>283</v>
      </c>
    </row>
    <row r="64" spans="1:8">
      <c r="C64" s="23" t="s">
        <v>321</v>
      </c>
      <c r="D64" t="s">
        <v>322</v>
      </c>
      <c r="E64" s="95">
        <v>1</v>
      </c>
      <c r="F64" s="4" t="s">
        <v>323</v>
      </c>
    </row>
    <row r="65" spans="1:11">
      <c r="D65" t="s">
        <v>324</v>
      </c>
      <c r="E65" s="117" t="s">
        <v>319</v>
      </c>
      <c r="F65" s="17" t="s">
        <v>326</v>
      </c>
    </row>
    <row r="66" spans="1:11" ht="31.5">
      <c r="A66" s="23" t="s">
        <v>240</v>
      </c>
      <c r="C66" s="23" t="s">
        <v>251</v>
      </c>
      <c r="D66" s="18" t="s">
        <v>241</v>
      </c>
      <c r="E66" s="43">
        <v>9.6999999999999993</v>
      </c>
      <c r="F66" s="4" t="s">
        <v>242</v>
      </c>
      <c r="H66" s="17" t="s">
        <v>288</v>
      </c>
    </row>
    <row r="67" spans="1:11" ht="30">
      <c r="C67" s="23" t="s">
        <v>263</v>
      </c>
      <c r="D67" s="18" t="s">
        <v>264</v>
      </c>
      <c r="E67" s="58">
        <f>0.00001 *$E$73 * $E$34 * $E$47</f>
        <v>5.2031250000000001E-2</v>
      </c>
      <c r="F67" s="4" t="s">
        <v>274</v>
      </c>
      <c r="H67" s="17" t="s">
        <v>265</v>
      </c>
      <c r="I67" s="4"/>
      <c r="J67" s="69" t="s">
        <v>307</v>
      </c>
      <c r="K67" s="88" t="s">
        <v>329</v>
      </c>
    </row>
    <row r="68" spans="1:11">
      <c r="C68" s="23" t="s">
        <v>243</v>
      </c>
      <c r="D68" t="s">
        <v>285</v>
      </c>
      <c r="E68" s="43">
        <v>0.1</v>
      </c>
      <c r="F68" s="17"/>
      <c r="H68" s="17" t="s">
        <v>338</v>
      </c>
      <c r="J68" s="12"/>
    </row>
    <row r="69" spans="1:11">
      <c r="C69" s="23" t="s">
        <v>243</v>
      </c>
      <c r="D69" t="s">
        <v>286</v>
      </c>
      <c r="E69" s="43">
        <v>1</v>
      </c>
      <c r="F69" s="17"/>
      <c r="H69" s="17" t="s">
        <v>339</v>
      </c>
      <c r="J69" s="12"/>
    </row>
    <row r="70" spans="1:11">
      <c r="C70" s="23" t="s">
        <v>245</v>
      </c>
      <c r="D70" t="s">
        <v>246</v>
      </c>
      <c r="E70" s="43">
        <v>4</v>
      </c>
      <c r="F70" s="4" t="s">
        <v>248</v>
      </c>
      <c r="H70" s="17" t="s">
        <v>247</v>
      </c>
      <c r="J70" s="12"/>
    </row>
    <row r="71" spans="1:11" ht="18">
      <c r="A71" s="23" t="s">
        <v>249</v>
      </c>
      <c r="C71" s="23" t="s">
        <v>250</v>
      </c>
      <c r="D71" t="s">
        <v>262</v>
      </c>
      <c r="E71" s="60">
        <f>+$E$42 * VLOOKUP($E$65,CA_TABLEA1,2) * $E$64</f>
        <v>0.25</v>
      </c>
      <c r="F71" s="22" t="s">
        <v>6</v>
      </c>
      <c r="H71" s="17" t="s">
        <v>287</v>
      </c>
      <c r="J71" s="69" t="s">
        <v>327</v>
      </c>
    </row>
    <row r="72" spans="1:11">
      <c r="A72" s="23" t="s">
        <v>252</v>
      </c>
      <c r="C72" s="23" t="s">
        <v>253</v>
      </c>
      <c r="D72" t="s">
        <v>256</v>
      </c>
      <c r="E72" s="43">
        <v>20</v>
      </c>
      <c r="F72" s="22" t="s">
        <v>6</v>
      </c>
      <c r="H72" s="17" t="s">
        <v>261</v>
      </c>
      <c r="J72" s="12"/>
    </row>
    <row r="73" spans="1:11">
      <c r="C73" s="23" t="s">
        <v>254</v>
      </c>
      <c r="D73" t="s">
        <v>257</v>
      </c>
      <c r="E73" s="43">
        <v>5</v>
      </c>
      <c r="F73" s="22" t="s">
        <v>6</v>
      </c>
      <c r="H73" s="17" t="s">
        <v>273</v>
      </c>
    </row>
    <row r="74" spans="1:11" ht="31.5">
      <c r="C74" s="23" t="s">
        <v>255</v>
      </c>
      <c r="D74" s="18" t="s">
        <v>258</v>
      </c>
      <c r="E74" s="95">
        <v>10</v>
      </c>
      <c r="F74" s="4" t="s">
        <v>259</v>
      </c>
      <c r="H74" s="17" t="s">
        <v>260</v>
      </c>
    </row>
    <row r="75" spans="1:11">
      <c r="A75" s="23" t="s">
        <v>266</v>
      </c>
      <c r="B75" t="s">
        <v>267</v>
      </c>
      <c r="E75" s="17"/>
    </row>
    <row r="76" spans="1:11">
      <c r="A76" s="23" t="s">
        <v>268</v>
      </c>
      <c r="C76" s="23" t="s">
        <v>269</v>
      </c>
      <c r="D76" t="s">
        <v>270</v>
      </c>
      <c r="E76" s="43">
        <v>0.16400000000000001</v>
      </c>
      <c r="F76" s="22" t="s">
        <v>6</v>
      </c>
      <c r="H76" s="17" t="s">
        <v>271</v>
      </c>
    </row>
    <row r="77" spans="1:11">
      <c r="A77" s="23" t="s">
        <v>272</v>
      </c>
      <c r="C77" s="74" t="s">
        <v>275</v>
      </c>
      <c r="E77" s="17"/>
    </row>
    <row r="78" spans="1:11">
      <c r="C78" s="23" t="s">
        <v>253</v>
      </c>
      <c r="D78" t="s">
        <v>256</v>
      </c>
      <c r="E78" s="43">
        <v>800</v>
      </c>
      <c r="F78" s="22" t="s">
        <v>6</v>
      </c>
      <c r="H78" s="17" t="s">
        <v>276</v>
      </c>
    </row>
    <row r="79" spans="1:11">
      <c r="C79" s="23" t="s">
        <v>254</v>
      </c>
      <c r="D79" t="s">
        <v>257</v>
      </c>
      <c r="E79" s="43">
        <v>20</v>
      </c>
      <c r="F79" s="22" t="s">
        <v>6</v>
      </c>
      <c r="H79" s="17" t="s">
        <v>277</v>
      </c>
    </row>
    <row r="80" spans="1:11">
      <c r="C80" s="23" t="s">
        <v>243</v>
      </c>
      <c r="D80" t="s">
        <v>244</v>
      </c>
      <c r="E80" s="43">
        <v>0.1</v>
      </c>
      <c r="F80" s="22" t="s">
        <v>6</v>
      </c>
      <c r="H80" s="17" t="s">
        <v>340</v>
      </c>
    </row>
  </sheetData>
  <sheetProtection algorithmName="SHA-512" hashValue="fuRERabds5NoSj20p/QiLpfQjfV7rjdHvwGHIRxdfpMdOWmMpbkqJGUDuMgx3dRRWbeycEzs9useZIsR/ZaAwg==" saltValue="gcm86iljSgECrZaS8n7+6w==" spinCount="100000" sheet="1" objects="1" scenarios="1"/>
  <dataValidations count="3">
    <dataValidation type="list" allowBlank="1" showInputMessage="1" showErrorMessage="1" sqref="E59" xr:uid="{236F5F10-55DB-4770-A16C-C046992BEF14}">
      <formula1>"0.361,2.02"</formula1>
    </dataValidation>
    <dataValidation type="list" allowBlank="1" showInputMessage="1" showErrorMessage="1" sqref="E63" xr:uid="{AF56A08B-2851-4DA4-B201-A00D067BF563}">
      <formula1>"solid,liquid"</formula1>
    </dataValidation>
    <dataValidation type="list" allowBlank="1" showInputMessage="1" showErrorMessage="1" sqref="E65" xr:uid="{13A80B05-178B-4B7C-92B5-176CEF5ED7AD}">
      <formula1>CA_TABLEA1_LBL</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F9AD-E748-47FA-A194-793F8EA89412}">
  <sheetPr codeName="Sheet5">
    <tabColor theme="4"/>
  </sheetPr>
  <dimension ref="A1:M40"/>
  <sheetViews>
    <sheetView topLeftCell="M19" zoomScaleNormal="100" workbookViewId="0"/>
  </sheetViews>
  <sheetFormatPr defaultRowHeight="15"/>
  <cols>
    <col min="1" max="1" width="9.140625" style="55"/>
    <col min="2" max="2" width="12.5703125" style="55" customWidth="1"/>
    <col min="3" max="3" width="43.28515625" style="55" customWidth="1"/>
    <col min="4" max="4" width="17.140625" style="55" customWidth="1"/>
    <col min="5" max="5" width="14.42578125" style="55" customWidth="1"/>
    <col min="6" max="6" width="20.42578125" style="23" hidden="1" customWidth="1"/>
    <col min="7" max="7" width="51.5703125" style="55" hidden="1" customWidth="1"/>
    <col min="8" max="8" width="18.28515625" style="55" customWidth="1"/>
    <col min="9" max="9" width="16.5703125" style="55" customWidth="1"/>
    <col min="10" max="10" width="18.28515625" style="55" customWidth="1"/>
    <col min="11" max="11" width="29.5703125" hidden="1" customWidth="1"/>
    <col min="12" max="12" width="35.85546875" style="55" bestFit="1" customWidth="1"/>
    <col min="13" max="13" width="39.5703125" style="55" customWidth="1"/>
    <col min="14" max="14" width="9.140625" style="55"/>
    <col min="15" max="15" width="19" style="55" customWidth="1"/>
    <col min="16" max="16" width="44.7109375" style="55" customWidth="1"/>
    <col min="17" max="16384" width="9.140625" style="55"/>
  </cols>
  <sheetData>
    <row r="1" spans="1:13" s="17" customFormat="1">
      <c r="A1" s="17" t="s">
        <v>182</v>
      </c>
      <c r="B1" s="17" t="s">
        <v>184</v>
      </c>
      <c r="C1" s="17" t="s">
        <v>183</v>
      </c>
      <c r="D1" s="114" t="s">
        <v>157</v>
      </c>
      <c r="E1" s="17" t="s">
        <v>140</v>
      </c>
      <c r="F1" s="17" t="s">
        <v>351</v>
      </c>
      <c r="G1" s="17" t="s">
        <v>158</v>
      </c>
      <c r="H1" s="17" t="s">
        <v>159</v>
      </c>
      <c r="K1"/>
    </row>
    <row r="2" spans="1:13">
      <c r="B2" s="56"/>
      <c r="D2" s="96">
        <f>VLOOKUP(E2,CA_TABLE_CONV,2)</f>
        <v>1000</v>
      </c>
      <c r="E2" s="120" t="s">
        <v>342</v>
      </c>
      <c r="F2" s="17"/>
      <c r="H2" s="97" t="str">
        <f>IF(AND($D$2=1,$D$34&lt;1),"&lt;&lt;&lt; Consider switching units to µg !","&lt;&lt; (optionally) select unit for systemic doses")</f>
        <v>&lt;&lt; (optionally) select unit for systemic doses</v>
      </c>
    </row>
    <row r="3" spans="1:13" ht="21">
      <c r="A3" s="37"/>
      <c r="B3" s="15" t="s">
        <v>194</v>
      </c>
      <c r="G3" s="57"/>
      <c r="M3" s="1"/>
    </row>
    <row r="4" spans="1:13">
      <c r="A4" s="37" t="s">
        <v>176</v>
      </c>
      <c r="C4" s="11" t="s">
        <v>67</v>
      </c>
      <c r="G4" s="57"/>
      <c r="M4" s="1"/>
    </row>
    <row r="5" spans="1:13" ht="17.25">
      <c r="A5" s="37"/>
      <c r="C5" s="55" t="s">
        <v>169</v>
      </c>
      <c r="D5" s="58">
        <f xml:space="preserve">  $D$2 * 0.328 * Input!$E$8 * Input!$E$9</f>
        <v>0.64625184000000002</v>
      </c>
      <c r="E5" s="3" t="str">
        <f xml:space="preserve"> $E$2 &amp; F5</f>
        <v>µg kgbw ⁻¹ d⁻¹</v>
      </c>
      <c r="F5" s="2" t="s">
        <v>345</v>
      </c>
      <c r="G5" s="57" t="s">
        <v>156</v>
      </c>
      <c r="H5" s="17" t="s">
        <v>155</v>
      </c>
      <c r="J5" s="17"/>
    </row>
    <row r="6" spans="1:13">
      <c r="A6" s="37"/>
      <c r="C6" s="55" t="s">
        <v>70</v>
      </c>
      <c r="D6" s="87">
        <f>$D$5/( $D$2 * Input!$E$23)</f>
        <v>8.6166911999999998E-2</v>
      </c>
      <c r="E6" s="4" t="s">
        <v>10</v>
      </c>
      <c r="F6" s="23" t="s">
        <v>350</v>
      </c>
      <c r="G6" s="57"/>
      <c r="H6" s="17" t="s">
        <v>168</v>
      </c>
      <c r="J6" s="17"/>
    </row>
    <row r="7" spans="1:13">
      <c r="A7" s="37"/>
      <c r="C7" s="33" t="s">
        <v>69</v>
      </c>
      <c r="D7" s="120" t="s">
        <v>167</v>
      </c>
      <c r="E7" s="12" t="str">
        <f>IF(AND(D7="no",D6&gt;0.1), "&lt;&lt; consider inhalation!","")</f>
        <v/>
      </c>
      <c r="F7" s="17"/>
      <c r="G7" s="57"/>
      <c r="H7" s="17" t="s">
        <v>363</v>
      </c>
    </row>
    <row r="8" spans="1:13" ht="18">
      <c r="A8" s="37" t="s">
        <v>343</v>
      </c>
      <c r="B8" s="55" t="s">
        <v>165</v>
      </c>
      <c r="C8" s="1" t="s">
        <v>166</v>
      </c>
      <c r="D8" s="58">
        <f>IF(D7="no",0, ($D$2 / 1000) * 1.01 * 0.001 * (1000000 * Input!$E$9) * Input!$E$34)</f>
        <v>0</v>
      </c>
      <c r="E8" s="3" t="str">
        <f t="shared" ref="E8:E12" si="0" xml:space="preserve"> $E$2 &amp; F8</f>
        <v>µg /m3</v>
      </c>
      <c r="F8" s="2" t="s">
        <v>349</v>
      </c>
      <c r="G8" s="57" t="s">
        <v>348</v>
      </c>
      <c r="L8" s="71"/>
    </row>
    <row r="9" spans="1:13" ht="17.25">
      <c r="A9" s="38"/>
      <c r="B9" s="2" t="s">
        <v>24</v>
      </c>
      <c r="C9" s="1" t="s">
        <v>28</v>
      </c>
      <c r="D9" s="58">
        <f>Input!$E$13*$D$8*'Reference data'!$C14*'Reference data'!$C15/'Reference data'!$C$7</f>
        <v>0</v>
      </c>
      <c r="E9" s="3" t="str">
        <f t="shared" si="0"/>
        <v>µg kgbw ⁻¹ d⁻¹</v>
      </c>
      <c r="F9" s="2" t="s">
        <v>345</v>
      </c>
      <c r="G9" s="57" t="s">
        <v>206</v>
      </c>
      <c r="M9" s="19"/>
    </row>
    <row r="10" spans="1:13" ht="17.25">
      <c r="A10" s="38"/>
      <c r="B10" s="2" t="s">
        <v>24</v>
      </c>
      <c r="C10" s="1" t="s">
        <v>29</v>
      </c>
      <c r="D10" s="58">
        <f>Input!$E$13*$D$8*'Reference data'!$D14*'Reference data'!$D15/'Reference data'!$D$7</f>
        <v>0</v>
      </c>
      <c r="E10" s="3" t="str">
        <f t="shared" si="0"/>
        <v>µg kgbw ⁻¹ d⁻¹</v>
      </c>
      <c r="F10" s="2" t="s">
        <v>345</v>
      </c>
      <c r="G10" s="57" t="s">
        <v>206</v>
      </c>
      <c r="M10" s="19"/>
    </row>
    <row r="11" spans="1:13" ht="17.25">
      <c r="A11" s="38"/>
      <c r="B11" s="2" t="s">
        <v>24</v>
      </c>
      <c r="C11" s="1" t="s">
        <v>30</v>
      </c>
      <c r="D11" s="58">
        <f>Input!$E$13*$D$8*'Reference data'!$E14*'Reference data'!$E15/'Reference data'!$E$7</f>
        <v>0</v>
      </c>
      <c r="E11" s="3" t="str">
        <f t="shared" si="0"/>
        <v>µg kgbw ⁻¹ d⁻¹</v>
      </c>
      <c r="F11" s="2" t="s">
        <v>345</v>
      </c>
      <c r="G11" s="57" t="s">
        <v>206</v>
      </c>
      <c r="I11"/>
      <c r="M11" s="19"/>
    </row>
    <row r="12" spans="1:13" ht="17.25">
      <c r="A12" s="38"/>
      <c r="B12" s="2" t="s">
        <v>24</v>
      </c>
      <c r="C12" s="1" t="s">
        <v>31</v>
      </c>
      <c r="D12" s="58">
        <f>Input!$E$13*$D$8*'Reference data'!$F14*'Reference data'!$F15/'Reference data'!$F$7</f>
        <v>0</v>
      </c>
      <c r="E12" s="3" t="str">
        <f t="shared" si="0"/>
        <v>µg kgbw ⁻¹ d⁻¹</v>
      </c>
      <c r="F12" s="2" t="s">
        <v>345</v>
      </c>
      <c r="G12" s="57" t="s">
        <v>206</v>
      </c>
      <c r="M12" s="19"/>
    </row>
    <row r="13" spans="1:13">
      <c r="A13" s="37"/>
      <c r="C13" s="4"/>
      <c r="G13" s="57"/>
      <c r="M13" s="1"/>
    </row>
    <row r="14" spans="1:13">
      <c r="A14" s="37" t="s">
        <v>177</v>
      </c>
      <c r="C14" s="11" t="s">
        <v>170</v>
      </c>
      <c r="G14" s="57"/>
    </row>
    <row r="15" spans="1:13" ht="17.25">
      <c r="A15" s="37"/>
      <c r="B15" s="2" t="s">
        <v>24</v>
      </c>
      <c r="C15" s="1" t="s">
        <v>28</v>
      </c>
      <c r="D15" s="58">
        <f xml:space="preserve"> $D$2 * Input!$E$14*Input!$E$29*'Reference data'!$C$28*Input!$E$31*Input!$E$34/'Reference data'!$C$7</f>
        <v>6.1327499999999951E-2</v>
      </c>
      <c r="E15" s="3" t="str">
        <f t="shared" ref="E15:E18" si="1" xml:space="preserve"> $E$2 &amp; F15</f>
        <v>µg kgbw ⁻¹ d⁻¹</v>
      </c>
      <c r="F15" s="2" t="s">
        <v>345</v>
      </c>
      <c r="G15" s="57" t="s">
        <v>207</v>
      </c>
    </row>
    <row r="16" spans="1:13" ht="17.25">
      <c r="A16" s="37"/>
      <c r="B16" s="2" t="s">
        <v>24</v>
      </c>
      <c r="C16" s="1" t="s">
        <v>29</v>
      </c>
      <c r="D16" s="58">
        <f xml:space="preserve"> $D$2 * Input!$E$14*Input!$E$29*'Reference data'!D28*Input!$E$31*Input!$E$34/'Reference data'!$D$7</f>
        <v>8.4904550209204954E-2</v>
      </c>
      <c r="E16" s="3" t="str">
        <f t="shared" si="1"/>
        <v>µg kgbw ⁻¹ d⁻¹</v>
      </c>
      <c r="F16" s="2" t="s">
        <v>345</v>
      </c>
      <c r="G16" s="57" t="s">
        <v>207</v>
      </c>
    </row>
    <row r="17" spans="1:9" ht="17.25">
      <c r="A17" s="37"/>
      <c r="B17" s="2" t="s">
        <v>24</v>
      </c>
      <c r="C17" s="1" t="s">
        <v>30</v>
      </c>
      <c r="D17" s="58">
        <f xml:space="preserve"> $D$2 * Input!$E$14*Input!$E$29*'Reference data'!$E$28*Input!$E$31*Input!$E$34/'Reference data'!$E$7</f>
        <v>0.10371562499999991</v>
      </c>
      <c r="E17" s="3" t="str">
        <f t="shared" si="1"/>
        <v>µg kgbw ⁻¹ d⁻¹</v>
      </c>
      <c r="F17" s="2" t="s">
        <v>345</v>
      </c>
      <c r="G17" s="57" t="s">
        <v>207</v>
      </c>
    </row>
    <row r="18" spans="1:9" ht="17.25">
      <c r="A18" s="37"/>
      <c r="B18" s="2" t="s">
        <v>24</v>
      </c>
      <c r="C18" s="1" t="s">
        <v>31</v>
      </c>
      <c r="D18" s="58">
        <f xml:space="preserve"> $D$2 * Input!$E$14*Input!$E$29*'Reference data'!$F$28*Input!$E$31*Input!$E$34/'Reference data'!$F$7</f>
        <v>0.11273437499999991</v>
      </c>
      <c r="E18" s="3" t="str">
        <f t="shared" si="1"/>
        <v>µg kgbw ⁻¹ d⁻¹</v>
      </c>
      <c r="F18" s="2" t="s">
        <v>345</v>
      </c>
      <c r="G18" s="57" t="s">
        <v>207</v>
      </c>
    </row>
    <row r="19" spans="1:9">
      <c r="A19" s="37"/>
      <c r="B19" s="2"/>
      <c r="C19" s="1"/>
      <c r="D19" s="3"/>
      <c r="E19" s="3"/>
      <c r="F19" s="2"/>
      <c r="G19" s="57"/>
    </row>
    <row r="20" spans="1:9">
      <c r="A20" s="37"/>
      <c r="C20" s="9" t="s">
        <v>171</v>
      </c>
      <c r="G20" s="57"/>
    </row>
    <row r="21" spans="1:9" ht="17.25">
      <c r="A21" s="37" t="s">
        <v>178</v>
      </c>
      <c r="B21" s="2" t="s">
        <v>24</v>
      </c>
      <c r="C21" s="1" t="s">
        <v>30</v>
      </c>
      <c r="D21" s="58">
        <f xml:space="preserve"> $D$2 * Input!$E$12*Input!$E$36*Input!$E$29*'Reference data'!$E$24*Input!$E$37*Input!$E$31*Input!$E$34/'Reference data'!$E$7</f>
        <v>5.0584364999999958E-3</v>
      </c>
      <c r="E21" s="3" t="str">
        <f t="shared" ref="E21:E22" si="2" xml:space="preserve"> $E$2 &amp; F21</f>
        <v>µg kgbw ⁻¹ d⁻¹</v>
      </c>
      <c r="F21" s="2" t="s">
        <v>345</v>
      </c>
      <c r="G21" s="57" t="s">
        <v>208</v>
      </c>
    </row>
    <row r="22" spans="1:9" ht="17.25">
      <c r="A22" s="39"/>
      <c r="B22" s="2" t="s">
        <v>24</v>
      </c>
      <c r="C22" s="1" t="s">
        <v>31</v>
      </c>
      <c r="D22" s="58">
        <f xml:space="preserve"> $D$2 * Input!$E$12*Input!$E$36*Input!$E$29*'Reference data'!$F$24*Input!$E$37*Input!$E$31*Input!$E$34/'Reference data'!$F$7</f>
        <v>5.5326649218749952E-3</v>
      </c>
      <c r="E22" s="3" t="str">
        <f t="shared" si="2"/>
        <v>µg kgbw ⁻¹ d⁻¹</v>
      </c>
      <c r="F22" s="2" t="s">
        <v>345</v>
      </c>
      <c r="G22" s="57" t="s">
        <v>208</v>
      </c>
    </row>
    <row r="23" spans="1:9">
      <c r="A23" s="39"/>
      <c r="B23" s="2"/>
      <c r="C23" s="1"/>
      <c r="D23" s="6"/>
      <c r="E23" s="3"/>
      <c r="F23" s="2"/>
      <c r="G23" s="57"/>
    </row>
    <row r="24" spans="1:9">
      <c r="A24" s="37" t="s">
        <v>175</v>
      </c>
      <c r="C24" s="9" t="s">
        <v>172</v>
      </c>
      <c r="G24" s="57"/>
    </row>
    <row r="25" spans="1:9" ht="17.25">
      <c r="A25" s="37"/>
      <c r="B25" s="2" t="s">
        <v>24</v>
      </c>
      <c r="C25" s="1" t="s">
        <v>30</v>
      </c>
      <c r="D25" s="58">
        <f xml:space="preserve"> $D$2 * Input!$E$12*Input!$E$36*Input!$E$39*Input!$E$31*Input!$E$34/'Reference data'!$E$7</f>
        <v>0.26988609374999972</v>
      </c>
      <c r="E25" s="3" t="str">
        <f t="shared" ref="E25:E26" si="3" xml:space="preserve"> $E$2 &amp; F25</f>
        <v>µg kgbw ⁻¹ d⁻¹</v>
      </c>
      <c r="F25" s="2" t="s">
        <v>345</v>
      </c>
      <c r="G25" s="57" t="s">
        <v>209</v>
      </c>
    </row>
    <row r="26" spans="1:9" ht="17.25">
      <c r="A26" s="37"/>
      <c r="B26" s="2" t="s">
        <v>24</v>
      </c>
      <c r="C26" s="1" t="s">
        <v>31</v>
      </c>
      <c r="D26" s="58">
        <f xml:space="preserve"> $D$2 * Input!$E$12*Input!$E$36*Input!$E$39*Input!$E$31*Input!$E$34/'Reference data'!$F$7</f>
        <v>0.33735761718749968</v>
      </c>
      <c r="E26" s="3" t="str">
        <f t="shared" si="3"/>
        <v>µg kgbw ⁻¹ d⁻¹</v>
      </c>
      <c r="F26" s="2" t="s">
        <v>345</v>
      </c>
      <c r="G26" s="57" t="s">
        <v>209</v>
      </c>
    </row>
    <row r="27" spans="1:9">
      <c r="A27" s="37"/>
      <c r="B27" s="2"/>
      <c r="C27" s="1"/>
      <c r="D27" s="3"/>
      <c r="E27" s="3"/>
      <c r="F27" s="2"/>
      <c r="G27" s="57"/>
    </row>
    <row r="28" spans="1:9">
      <c r="A28" s="37"/>
      <c r="C28" s="40" t="s">
        <v>96</v>
      </c>
      <c r="G28" s="57"/>
    </row>
    <row r="29" spans="1:9">
      <c r="A29" s="37"/>
      <c r="B29" s="2"/>
      <c r="C29" s="10" t="s">
        <v>39</v>
      </c>
      <c r="D29" s="34" t="s">
        <v>40</v>
      </c>
      <c r="E29" s="34" t="s">
        <v>41</v>
      </c>
      <c r="F29" s="102"/>
      <c r="G29" s="59"/>
      <c r="H29" s="34" t="s">
        <v>42</v>
      </c>
      <c r="I29" s="34" t="s">
        <v>43</v>
      </c>
    </row>
    <row r="30" spans="1:9">
      <c r="A30" s="37"/>
      <c r="B30" s="5"/>
      <c r="C30" s="35" t="s">
        <v>67</v>
      </c>
      <c r="D30" s="58">
        <f>D9</f>
        <v>0</v>
      </c>
      <c r="E30" s="58">
        <f>D10</f>
        <v>0</v>
      </c>
      <c r="G30"/>
      <c r="H30" s="58">
        <f>D11</f>
        <v>0</v>
      </c>
      <c r="I30" s="58">
        <f>D12</f>
        <v>0</v>
      </c>
    </row>
    <row r="31" spans="1:9">
      <c r="A31" s="37"/>
      <c r="C31" s="35" t="s">
        <v>71</v>
      </c>
      <c r="D31" s="58">
        <f>D15</f>
        <v>6.1327499999999951E-2</v>
      </c>
      <c r="E31" s="58">
        <f>D16</f>
        <v>8.4904550209204954E-2</v>
      </c>
      <c r="G31"/>
      <c r="H31" s="58">
        <f>D17</f>
        <v>0.10371562499999991</v>
      </c>
      <c r="I31" s="58">
        <f>D18</f>
        <v>0.11273437499999991</v>
      </c>
    </row>
    <row r="32" spans="1:9">
      <c r="A32" s="37"/>
      <c r="C32" s="36" t="s">
        <v>171</v>
      </c>
      <c r="D32" s="61" t="s">
        <v>173</v>
      </c>
      <c r="E32" s="61" t="s">
        <v>173</v>
      </c>
      <c r="G32"/>
      <c r="H32" s="58">
        <f>D21</f>
        <v>5.0584364999999958E-3</v>
      </c>
      <c r="I32" s="58">
        <f>D22</f>
        <v>5.5326649218749952E-3</v>
      </c>
    </row>
    <row r="33" spans="1:11" ht="15.75" thickBot="1">
      <c r="A33" s="37"/>
      <c r="C33" s="36" t="s">
        <v>172</v>
      </c>
      <c r="D33" s="62" t="s">
        <v>173</v>
      </c>
      <c r="E33" s="62" t="s">
        <v>173</v>
      </c>
      <c r="G33"/>
      <c r="H33" s="98">
        <f>D25</f>
        <v>0.26988609374999972</v>
      </c>
      <c r="I33" s="98">
        <f>D26</f>
        <v>0.33735761718749968</v>
      </c>
    </row>
    <row r="34" spans="1:11" ht="17.25">
      <c r="A34" s="37"/>
      <c r="D34" s="99">
        <f>D9+D15</f>
        <v>6.1327499999999951E-2</v>
      </c>
      <c r="E34" s="99">
        <f>D10+D16</f>
        <v>8.4904550209204954E-2</v>
      </c>
      <c r="F34" s="111"/>
      <c r="G34" s="104"/>
      <c r="H34" s="99">
        <f>D11+D17+D21+D25</f>
        <v>0.37866015524999963</v>
      </c>
      <c r="I34" s="99">
        <f>D12+D18+D22+D26</f>
        <v>0.45562465710937461</v>
      </c>
      <c r="J34" s="3" t="str">
        <f t="shared" ref="J34" si="4" xml:space="preserve"> $E$2 &amp; K34</f>
        <v>µg kgbw ⁻¹ d⁻¹</v>
      </c>
      <c r="K34" s="3" t="s">
        <v>341</v>
      </c>
    </row>
    <row r="35" spans="1:11">
      <c r="G35" s="57"/>
    </row>
    <row r="36" spans="1:11">
      <c r="G36" s="57"/>
    </row>
    <row r="37" spans="1:11">
      <c r="G37" s="57"/>
    </row>
    <row r="38" spans="1:11">
      <c r="G38" s="57"/>
    </row>
    <row r="39" spans="1:11">
      <c r="G39" s="57"/>
    </row>
    <row r="40" spans="1:11">
      <c r="G40" s="57"/>
    </row>
  </sheetData>
  <sheetProtection algorithmName="SHA-512" hashValue="Dh7UiFqLgXCBn9WSULWHaNdK85jOrwoHeAh7gOgArpnPflRl4+0+M2udb6llXv2lkvr/CBPDHP3tggPjwr1AxA==" saltValue="3PNLV8/IzC9AhyyYADzL9g==" spinCount="100000" sheet="1" objects="1" scenarios="1"/>
  <conditionalFormatting sqref="H2">
    <cfRule type="containsText" dxfId="11" priority="1" operator="containsText" text="&lt;&lt;&lt;">
      <formula>NOT(ISERROR(SEARCH("&lt;&lt;&lt;",H2)))</formula>
    </cfRule>
  </conditionalFormatting>
  <dataValidations count="2">
    <dataValidation type="list" showInputMessage="1" showErrorMessage="1" sqref="D7" xr:uid="{F0FCBE40-59A8-4A27-A859-FD989EADE462}">
      <formula1>"no,yes"</formula1>
    </dataValidation>
    <dataValidation type="list" allowBlank="1" showInputMessage="1" showErrorMessage="1" sqref="E2:F2" xr:uid="{8AAD23C6-5C75-4E2F-AD0D-4062A0421B31}">
      <formula1>CA_TABLE_CONV_LBL</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2E9F-AA9D-400C-9D4F-A826D7A11212}">
  <sheetPr codeName="Sheet6">
    <tabColor theme="4"/>
  </sheetPr>
  <dimension ref="A1:L31"/>
  <sheetViews>
    <sheetView zoomScaleNormal="100" workbookViewId="0"/>
  </sheetViews>
  <sheetFormatPr defaultRowHeight="15"/>
  <cols>
    <col min="1" max="1" width="9.140625" style="55"/>
    <col min="2" max="2" width="12.5703125" style="55" customWidth="1"/>
    <col min="3" max="3" width="55.28515625" style="55" customWidth="1"/>
    <col min="4" max="5" width="16.140625" style="55" customWidth="1"/>
    <col min="6" max="6" width="16.140625" style="23" hidden="1" customWidth="1"/>
    <col min="7" max="7" width="57" style="55" hidden="1" customWidth="1"/>
    <col min="8" max="8" width="23.7109375" style="55" customWidth="1"/>
    <col min="9" max="9" width="16.140625" customWidth="1"/>
    <col min="10" max="11" width="9.140625" style="55"/>
    <col min="12" max="12" width="39.5703125" style="55" customWidth="1"/>
    <col min="13" max="13" width="9.140625" style="55"/>
    <col min="14" max="14" width="19" style="55" customWidth="1"/>
    <col min="15" max="15" width="44.7109375" style="55" customWidth="1"/>
    <col min="16" max="16384" width="9.140625" style="55"/>
  </cols>
  <sheetData>
    <row r="1" spans="1:12" s="17" customFormat="1">
      <c r="A1" s="17" t="s">
        <v>182</v>
      </c>
      <c r="B1" s="17" t="s">
        <v>184</v>
      </c>
      <c r="C1" s="17" t="s">
        <v>183</v>
      </c>
      <c r="D1" s="114" t="s">
        <v>157</v>
      </c>
      <c r="E1" s="17" t="s">
        <v>140</v>
      </c>
      <c r="F1" s="17" t="s">
        <v>351</v>
      </c>
      <c r="G1" s="17" t="s">
        <v>158</v>
      </c>
      <c r="H1" s="17" t="s">
        <v>159</v>
      </c>
      <c r="I1"/>
    </row>
    <row r="2" spans="1:12" ht="21.75" thickBot="1">
      <c r="B2" s="15"/>
      <c r="D2" s="96">
        <f>'2.1 Exposure from sleeping..'!$D$2</f>
        <v>1000</v>
      </c>
      <c r="E2" s="100" t="str">
        <f>'2.1 Exposure from sleeping..'!$E$2</f>
        <v>µg</v>
      </c>
      <c r="H2" s="97" t="s">
        <v>344</v>
      </c>
    </row>
    <row r="3" spans="1:12" ht="21.75" thickTop="1">
      <c r="A3" s="37" t="s">
        <v>174</v>
      </c>
      <c r="B3" s="15" t="s">
        <v>193</v>
      </c>
      <c r="L3" s="1"/>
    </row>
    <row r="4" spans="1:12">
      <c r="A4" s="37" t="s">
        <v>179</v>
      </c>
      <c r="C4" s="11" t="s">
        <v>98</v>
      </c>
    </row>
    <row r="5" spans="1:12" ht="17.25">
      <c r="A5" s="37"/>
      <c r="B5" s="2" t="s">
        <v>24</v>
      </c>
      <c r="C5" s="1" t="s">
        <v>28</v>
      </c>
      <c r="D5" s="58">
        <f xml:space="preserve"> $D$2 * Input!$E$41*Input!$E$42*Input!$E$14*Input!$E$44*Input!$E$31*Input!$E$34*Input!$E$47/(Input!$E$48*'Reference data'!$C$7*Input!$E$49)</f>
        <v>9.4460081335616369E-2</v>
      </c>
      <c r="E5" s="3" t="str">
        <f xml:space="preserve"> $E$2 &amp; F5</f>
        <v>µg kgbw ⁻¹ d⁻¹</v>
      </c>
      <c r="F5" s="2" t="s">
        <v>345</v>
      </c>
      <c r="G5" s="63" t="s">
        <v>210</v>
      </c>
    </row>
    <row r="6" spans="1:12" ht="17.25">
      <c r="A6" s="37"/>
      <c r="B6" s="2" t="s">
        <v>24</v>
      </c>
      <c r="C6" s="1" t="s">
        <v>29</v>
      </c>
      <c r="D6" s="58">
        <f xml:space="preserve"> $D$2 * Input!$E$41*Input!$E$42*Input!$E$14*Input!$E$45*Input!$E$31*Input!$E$34*Input!$E$47/(Input!$E$48*'Reference data'!$D$7*Input!$E$49)</f>
        <v>0.11372298962572354</v>
      </c>
      <c r="E6" s="3" t="str">
        <f xml:space="preserve"> $E$2 &amp; F6</f>
        <v>µg kgbw ⁻¹ d⁻¹</v>
      </c>
      <c r="F6" s="2" t="s">
        <v>345</v>
      </c>
      <c r="G6" s="57"/>
    </row>
    <row r="7" spans="1:12">
      <c r="A7" s="37"/>
      <c r="B7" s="2"/>
      <c r="C7" s="1"/>
      <c r="D7" s="6"/>
      <c r="E7" s="3"/>
      <c r="F7" s="2"/>
      <c r="G7" s="57"/>
    </row>
    <row r="8" spans="1:12" ht="18">
      <c r="A8" s="37"/>
      <c r="B8" s="2" t="s">
        <v>26</v>
      </c>
      <c r="C8" s="55" t="s">
        <v>111</v>
      </c>
      <c r="D8" s="58">
        <f xml:space="preserve"> $D$2 * Input!$E$42*Input!$E$14*Input!$E$44*Input!$E$31*Input!$E$34*Input!$E$47/(Input!$E$48*'Reference data'!$C$7)</f>
        <v>5.1716894531249959</v>
      </c>
      <c r="E8" s="3" t="str">
        <f t="shared" ref="E8:E9" si="0" xml:space="preserve"> $E$2 &amp; F8</f>
        <v>µg kgbw ⁻¹</v>
      </c>
      <c r="F8" s="2" t="s">
        <v>346</v>
      </c>
      <c r="G8" s="63" t="s">
        <v>211</v>
      </c>
    </row>
    <row r="9" spans="1:12" ht="18">
      <c r="A9" s="37"/>
      <c r="B9" s="2" t="s">
        <v>26</v>
      </c>
      <c r="C9" s="55" t="s">
        <v>112</v>
      </c>
      <c r="D9" s="58">
        <f xml:space="preserve"> $D$2 * Input!$E$42*Input!$E$14*Input!$E$45*Input!$E$31*Input!$E$34*Input!$E$47/(Input!$E$48*'Reference data'!$D$7)</f>
        <v>6.226333682008363</v>
      </c>
      <c r="E9" s="3" t="str">
        <f t="shared" si="0"/>
        <v>µg kgbw ⁻¹</v>
      </c>
      <c r="F9" s="2" t="s">
        <v>346</v>
      </c>
      <c r="G9" s="57"/>
    </row>
    <row r="10" spans="1:12">
      <c r="A10" s="37"/>
      <c r="B10" s="2"/>
      <c r="C10" s="1"/>
      <c r="D10" s="6"/>
      <c r="E10" s="3"/>
      <c r="F10" s="2"/>
      <c r="G10" s="57"/>
    </row>
    <row r="11" spans="1:12">
      <c r="A11" s="37" t="s">
        <v>180</v>
      </c>
      <c r="C11" s="9" t="s">
        <v>99</v>
      </c>
      <c r="D11" s="64"/>
    </row>
    <row r="12" spans="1:12" ht="17.25">
      <c r="A12" s="37"/>
      <c r="B12" s="2" t="s">
        <v>24</v>
      </c>
      <c r="C12" s="1" t="s">
        <v>28</v>
      </c>
      <c r="D12" s="58">
        <f xml:space="preserve"> $D$2 * Input!$E$41*Input!$E$42*Input!$E$12*Input!$E$51*Input!$E$31*Input!$E$34*Input!$E$37*Input!$E$47/(Input!$E$48*'Reference data'!$C$7*Input!$E$49)</f>
        <v>2.5959792380136959E-2</v>
      </c>
      <c r="E12" s="3" t="str">
        <f t="shared" ref="E12:E13" si="1" xml:space="preserve"> $E$2 &amp; F12</f>
        <v>µg kgbw ⁻¹ d⁻¹</v>
      </c>
      <c r="F12" s="2" t="s">
        <v>345</v>
      </c>
      <c r="G12" s="63" t="s">
        <v>212</v>
      </c>
    </row>
    <row r="13" spans="1:12" ht="17.25">
      <c r="A13" s="37"/>
      <c r="B13" s="2" t="s">
        <v>24</v>
      </c>
      <c r="C13" s="1" t="s">
        <v>29</v>
      </c>
      <c r="D13" s="58">
        <f xml:space="preserve"> $D$2 * Input!$E$41*Input!$E$42*Input!$E$12*Input!$E$52*Input!$E$31*Input!$E$34*Input!$E$37*Input!$E$47/(Input!$E$48*'Reference data'!$D$7*Input!$E$49)</f>
        <v>3.4175050689230213E-2</v>
      </c>
      <c r="E13" s="3" t="str">
        <f t="shared" si="1"/>
        <v>µg kgbw ⁻¹ d⁻¹</v>
      </c>
      <c r="F13" s="2" t="s">
        <v>345</v>
      </c>
    </row>
    <row r="14" spans="1:12">
      <c r="A14" s="37"/>
      <c r="B14" s="2"/>
      <c r="C14" s="1"/>
      <c r="D14" s="6"/>
      <c r="E14" s="3"/>
      <c r="F14" s="2"/>
    </row>
    <row r="15" spans="1:12" ht="18">
      <c r="A15" s="37"/>
      <c r="B15" s="2" t="s">
        <v>26</v>
      </c>
      <c r="C15" s="55" t="s">
        <v>32</v>
      </c>
      <c r="D15" s="58">
        <f xml:space="preserve"> $D$2 * Input!$E$42*Input!$E$12*Input!$E$51*Input!$E$31*Input!$E$34*Input!$E$37*Input!$E$47/(Input!$E$48*'Reference data'!$C$7)</f>
        <v>1.421298632812499</v>
      </c>
      <c r="E15" s="3" t="str">
        <f t="shared" ref="E15:E16" si="2" xml:space="preserve"> $E$2 &amp; F15</f>
        <v>µg kgbw ⁻¹</v>
      </c>
      <c r="F15" s="2" t="s">
        <v>346</v>
      </c>
      <c r="G15" s="63" t="s">
        <v>213</v>
      </c>
    </row>
    <row r="16" spans="1:12" ht="18">
      <c r="A16" s="37"/>
      <c r="B16" s="2" t="s">
        <v>26</v>
      </c>
      <c r="C16" s="55" t="s">
        <v>33</v>
      </c>
      <c r="D16" s="58">
        <f xml:space="preserve"> $D$2 * Input!$E$42*Input!$E$12*Input!$E$52*Input!$E$31*Input!$E$34*Input!$E$37*Input!$E$47/(Input!$E$48*'Reference data'!$D$7)</f>
        <v>1.8710840252353542</v>
      </c>
      <c r="E16" s="3" t="str">
        <f t="shared" si="2"/>
        <v>µg kgbw ⁻¹</v>
      </c>
      <c r="F16" s="2" t="s">
        <v>346</v>
      </c>
    </row>
    <row r="17" spans="1:8">
      <c r="A17" s="37"/>
      <c r="B17" s="2"/>
      <c r="C17" s="1"/>
      <c r="D17" s="6"/>
      <c r="E17" s="3"/>
      <c r="F17" s="2"/>
    </row>
    <row r="18" spans="1:8">
      <c r="A18" s="37"/>
      <c r="C18" s="40" t="s">
        <v>100</v>
      </c>
      <c r="D18" s="64"/>
    </row>
    <row r="19" spans="1:8">
      <c r="A19" s="37"/>
      <c r="B19" s="2"/>
      <c r="C19" s="55" t="s">
        <v>39</v>
      </c>
      <c r="D19" s="64"/>
      <c r="E19" s="1"/>
      <c r="F19" s="2"/>
      <c r="G19" s="65"/>
    </row>
    <row r="20" spans="1:8" ht="17.25">
      <c r="A20" s="37"/>
      <c r="B20" s="5"/>
      <c r="C20" s="13" t="s">
        <v>40</v>
      </c>
      <c r="D20" s="58">
        <f>D5+D12</f>
        <v>0.12041987371575333</v>
      </c>
      <c r="E20" s="3" t="str">
        <f t="shared" ref="E20:E21" si="3" xml:space="preserve"> $E$2 &amp; F20</f>
        <v>µg kgbw ⁻¹ d⁻¹</v>
      </c>
      <c r="F20" s="2" t="s">
        <v>345</v>
      </c>
      <c r="G20" s="63" t="s">
        <v>97</v>
      </c>
    </row>
    <row r="21" spans="1:8" ht="17.25">
      <c r="A21" s="37"/>
      <c r="C21" s="13" t="s">
        <v>41</v>
      </c>
      <c r="D21" s="58">
        <f>D6+D13</f>
        <v>0.14789804031495374</v>
      </c>
      <c r="E21" s="3" t="str">
        <f t="shared" si="3"/>
        <v>µg kgbw ⁻¹ d⁻¹</v>
      </c>
      <c r="F21" s="2" t="s">
        <v>345</v>
      </c>
      <c r="G21" s="3"/>
    </row>
    <row r="22" spans="1:8">
      <c r="A22" s="37"/>
      <c r="C22" s="55" t="s">
        <v>44</v>
      </c>
      <c r="D22" s="64"/>
    </row>
    <row r="23" spans="1:8" ht="17.25">
      <c r="A23" s="37"/>
      <c r="C23" s="13" t="s">
        <v>40</v>
      </c>
      <c r="D23" s="58">
        <f>D8+D15</f>
        <v>6.5929880859374954</v>
      </c>
      <c r="E23" s="3" t="str">
        <f t="shared" ref="E23:E24" si="4" xml:space="preserve"> $E$2 &amp; F23</f>
        <v>µg kgbw ⁻¹</v>
      </c>
      <c r="F23" s="2" t="s">
        <v>346</v>
      </c>
      <c r="G23" s="3"/>
    </row>
    <row r="24" spans="1:8" ht="17.25">
      <c r="A24" s="37"/>
      <c r="C24" s="13" t="s">
        <v>41</v>
      </c>
      <c r="D24" s="58">
        <f>D9+D16</f>
        <v>8.0974177072437179</v>
      </c>
      <c r="E24" s="3" t="str">
        <f t="shared" si="4"/>
        <v>µg kgbw ⁻¹</v>
      </c>
      <c r="F24" s="2" t="s">
        <v>346</v>
      </c>
      <c r="G24" s="3"/>
      <c r="H24" s="12"/>
    </row>
    <row r="25" spans="1:8">
      <c r="A25" s="37"/>
    </row>
    <row r="26" spans="1:8">
      <c r="A26" s="37"/>
    </row>
    <row r="27" spans="1:8">
      <c r="A27" s="37"/>
    </row>
    <row r="31" spans="1:8">
      <c r="F31" s="2"/>
    </row>
  </sheetData>
  <sheetProtection algorithmName="SHA-512" hashValue="ACResKkxl3HmdhCuTeR2vR/jyNhdFEdLAZFQ0XxTXzamDmk1E6R1G1rYA6aBx6mVoDqIvdRXxsZdorjILljY2w==" saltValue="pvXpGQ1GzdzTR7XRCS3GAw==" spinCount="100000" sheet="1" objects="1" scenarios="1"/>
  <conditionalFormatting sqref="H2">
    <cfRule type="containsText" dxfId="10" priority="1" operator="containsText" text="&lt;&lt;&lt;">
      <formula>NOT(ISERROR(SEARCH("&lt;&lt;&lt;",H2)))</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4DD5-1422-4951-A7F5-0E004EC04ED9}">
  <sheetPr codeName="Sheet7">
    <tabColor theme="4"/>
  </sheetPr>
  <dimension ref="A1:J25"/>
  <sheetViews>
    <sheetView zoomScaleNormal="100" workbookViewId="0"/>
  </sheetViews>
  <sheetFormatPr defaultRowHeight="15"/>
  <cols>
    <col min="1" max="1" width="9.140625" style="55"/>
    <col min="2" max="2" width="12.5703125" style="55" customWidth="1"/>
    <col min="3" max="3" width="55.28515625" style="55" customWidth="1"/>
    <col min="4" max="4" width="17.140625" style="55" customWidth="1"/>
    <col min="5" max="5" width="13.85546875" style="55" customWidth="1"/>
    <col min="6" max="6" width="5.85546875" style="55" customWidth="1"/>
    <col min="7" max="7" width="35.7109375" style="55" hidden="1" customWidth="1"/>
    <col min="8" max="8" width="17.85546875" style="55" customWidth="1"/>
    <col min="9" max="9" width="7.5703125" customWidth="1"/>
    <col min="10" max="10" width="39.5703125" customWidth="1"/>
    <col min="11" max="11" width="9.140625" style="55"/>
    <col min="12" max="12" width="19" style="55" customWidth="1"/>
    <col min="13" max="13" width="44.7109375" style="55" customWidth="1"/>
    <col min="14" max="16384" width="9.140625" style="55"/>
  </cols>
  <sheetData>
    <row r="1" spans="1:10" s="17" customFormat="1">
      <c r="A1" s="17" t="s">
        <v>182</v>
      </c>
      <c r="B1" s="17" t="s">
        <v>184</v>
      </c>
      <c r="C1" s="17" t="s">
        <v>183</v>
      </c>
      <c r="D1" s="114" t="s">
        <v>157</v>
      </c>
      <c r="E1" s="17" t="s">
        <v>140</v>
      </c>
      <c r="G1" s="17" t="s">
        <v>158</v>
      </c>
      <c r="H1" s="17" t="s">
        <v>159</v>
      </c>
      <c r="I1"/>
      <c r="J1"/>
    </row>
    <row r="2" spans="1:10" ht="18.75" customHeight="1">
      <c r="A2" s="37"/>
      <c r="B2" s="15"/>
      <c r="D2" s="96"/>
      <c r="E2"/>
      <c r="H2" s="97"/>
    </row>
    <row r="3" spans="1:10" ht="21">
      <c r="A3" s="37" t="s">
        <v>181</v>
      </c>
      <c r="B3" s="15" t="s">
        <v>192</v>
      </c>
      <c r="G3" s="57"/>
    </row>
    <row r="4" spans="1:10">
      <c r="A4" s="37"/>
      <c r="C4" s="11" t="s">
        <v>116</v>
      </c>
      <c r="G4" s="57"/>
    </row>
    <row r="5" spans="1:10" ht="18">
      <c r="A5" s="37"/>
      <c r="B5" s="23" t="s">
        <v>149</v>
      </c>
      <c r="D5" s="58">
        <f>'2.1 Exposure from sleeping..'!D34+'2.2 Exposure during washing'!D20</f>
        <v>0.18174737371575328</v>
      </c>
      <c r="E5" s="3" t="str">
        <f>'2.1 Exposure from sleeping..'!$J$34</f>
        <v>µg kgbw ⁻¹ d⁻¹</v>
      </c>
      <c r="G5" s="57"/>
    </row>
    <row r="6" spans="1:10">
      <c r="A6" s="37"/>
      <c r="B6" s="2" t="s">
        <v>24</v>
      </c>
      <c r="C6" s="1" t="s">
        <v>118</v>
      </c>
      <c r="D6" s="58">
        <f>Input!$E$55 * Input!$E$12 * '2.3 Exposure via breast milk'!$D$5 * 'Reference data'!$C$7 * Input!$E$56 / 'Reference data'!$G$7</f>
        <v>3.8751136467251673E-2</v>
      </c>
      <c r="E6" s="3" t="str">
        <f>$E$5</f>
        <v>µg kgbw ⁻¹ d⁻¹</v>
      </c>
      <c r="G6" s="57" t="s">
        <v>214</v>
      </c>
      <c r="H6" s="68"/>
    </row>
    <row r="7" spans="1:10">
      <c r="A7" s="37"/>
      <c r="B7" s="2" t="s">
        <v>24</v>
      </c>
      <c r="C7" s="1" t="s">
        <v>117</v>
      </c>
      <c r="D7" s="58">
        <f>Input!$E$55 * Input!$E$12 * '2.3 Exposure via breast milk'!$D$5 * 'Reference data'!$C$7 * Input!$E$56 / 'Reference data'!$F$7</f>
        <v>2.034434664530713E-2</v>
      </c>
      <c r="E7" s="3" t="str">
        <f>$E$5</f>
        <v>µg kgbw ⁻¹ d⁻¹</v>
      </c>
      <c r="G7" s="57"/>
      <c r="H7" s="68"/>
    </row>
    <row r="8" spans="1:10">
      <c r="A8" s="37"/>
      <c r="B8" s="2"/>
      <c r="C8" s="1"/>
      <c r="D8" s="6"/>
      <c r="E8" s="3"/>
      <c r="G8" s="57"/>
    </row>
    <row r="9" spans="1:10" ht="18">
      <c r="A9" s="37"/>
      <c r="B9" s="23" t="s">
        <v>150</v>
      </c>
      <c r="D9" s="58">
        <f>'2.1 Exposure from sleeping..'!$D$34+'2.2 Exposure during washing'!$D$23</f>
        <v>6.6543155859374954</v>
      </c>
      <c r="E9" s="3" t="str">
        <f>'2.2 Exposure during washing'!$E$23</f>
        <v>µg kgbw ⁻¹</v>
      </c>
      <c r="G9" s="57"/>
      <c r="H9" s="71"/>
    </row>
    <row r="10" spans="1:10" ht="18">
      <c r="A10" s="37"/>
      <c r="B10" s="2" t="s">
        <v>26</v>
      </c>
      <c r="C10" s="55" t="s">
        <v>119</v>
      </c>
      <c r="D10" s="58">
        <f>Input!$E$55 * Input!$E$12 * '2.3 Exposure via breast milk'!$D$9 * 'Reference data'!$C$7 * Input!$E$56 / 'Reference data'!$G$7</f>
        <v>1.4187951445731015</v>
      </c>
      <c r="E10" s="3" t="str">
        <f>$E$9</f>
        <v>µg kgbw ⁻¹</v>
      </c>
      <c r="G10" s="57" t="s">
        <v>215</v>
      </c>
      <c r="H10" s="68"/>
    </row>
    <row r="11" spans="1:10" ht="18">
      <c r="A11" s="37"/>
      <c r="B11" s="2" t="s">
        <v>26</v>
      </c>
      <c r="C11" s="55" t="s">
        <v>120</v>
      </c>
      <c r="D11" s="58">
        <f>Input!$E$55 * Input!$E$12 * '2.3 Exposure via breast milk'!$D$9 * 'Reference data'!$C$7 * Input!$E$56 / 'Reference data'!$F$7</f>
        <v>0.74486745090087836</v>
      </c>
      <c r="E11" s="3" t="str">
        <f>$E$9</f>
        <v>µg kgbw ⁻¹</v>
      </c>
      <c r="G11" s="57"/>
      <c r="H11" s="68"/>
    </row>
    <row r="12" spans="1:10">
      <c r="A12" s="37"/>
      <c r="B12" s="2"/>
      <c r="C12" s="1"/>
      <c r="D12" s="6"/>
      <c r="E12" s="3"/>
      <c r="G12" s="57"/>
    </row>
    <row r="13" spans="1:10">
      <c r="A13" s="37"/>
      <c r="D13" s="64"/>
      <c r="E13" s="3"/>
      <c r="G13" s="57"/>
    </row>
    <row r="14" spans="1:10">
      <c r="A14" s="37" t="s">
        <v>186</v>
      </c>
      <c r="C14" s="4" t="s">
        <v>185</v>
      </c>
      <c r="D14" s="64"/>
      <c r="G14" s="57"/>
    </row>
    <row r="15" spans="1:10">
      <c r="A15" s="37"/>
      <c r="C15" s="11" t="s">
        <v>116</v>
      </c>
      <c r="D15" s="64"/>
      <c r="G15" s="57"/>
    </row>
    <row r="16" spans="1:10" ht="18.75" thickBot="1">
      <c r="A16" s="37"/>
      <c r="B16" s="23" t="s">
        <v>151</v>
      </c>
      <c r="C16" s="55" t="s">
        <v>126</v>
      </c>
      <c r="D16" s="101">
        <f>'2.3 Exposure via breast milk'!$D$5</f>
        <v>0.18174737371575328</v>
      </c>
      <c r="E16" s="3" t="s">
        <v>129</v>
      </c>
    </row>
    <row r="17" spans="1:10" ht="18" thickTop="1">
      <c r="A17" s="37"/>
      <c r="B17" s="2" t="s">
        <v>24</v>
      </c>
      <c r="C17" s="1" t="s">
        <v>118</v>
      </c>
      <c r="D17" s="58">
        <f>Input!$E$59*'2.3 Exposure via breast milk'!$D$16*Input!$E$60*Input!$E$58*Input!$E$12/'Reference data'!$G$7</f>
        <v>0</v>
      </c>
      <c r="E17" s="3" t="s">
        <v>25</v>
      </c>
      <c r="G17" s="57" t="s">
        <v>216</v>
      </c>
      <c r="J17" s="17" t="s">
        <v>365</v>
      </c>
    </row>
    <row r="18" spans="1:10" ht="17.25">
      <c r="A18" s="37"/>
      <c r="B18" s="2" t="s">
        <v>24</v>
      </c>
      <c r="C18" s="1" t="s">
        <v>117</v>
      </c>
      <c r="D18" s="58">
        <f>Input!$E$59*'2.3 Exposure via breast milk'!$D$16*Input!$E$60*Input!$E$58*Input!$E$12/'Reference data'!$F$7</f>
        <v>0</v>
      </c>
      <c r="E18" s="3" t="s">
        <v>25</v>
      </c>
      <c r="G18" s="57"/>
    </row>
    <row r="19" spans="1:10">
      <c r="A19" s="37"/>
      <c r="D19" s="64"/>
      <c r="G19" s="57"/>
    </row>
    <row r="20" spans="1:10">
      <c r="A20" s="37"/>
      <c r="D20" s="64"/>
      <c r="G20" s="57"/>
    </row>
    <row r="21" spans="1:10">
      <c r="A21" s="37"/>
      <c r="C21" s="40" t="s">
        <v>131</v>
      </c>
      <c r="D21" s="64"/>
    </row>
    <row r="22" spans="1:10" ht="17.25">
      <c r="A22" s="37"/>
      <c r="B22" s="2" t="s">
        <v>24</v>
      </c>
      <c r="C22" s="1" t="s">
        <v>118</v>
      </c>
      <c r="D22" s="58">
        <f>IF(D6&gt;0,D6,D17)</f>
        <v>3.8751136467251673E-2</v>
      </c>
      <c r="E22" s="3" t="s">
        <v>25</v>
      </c>
    </row>
    <row r="23" spans="1:10" ht="17.25">
      <c r="A23" s="37"/>
      <c r="B23" s="2" t="s">
        <v>24</v>
      </c>
      <c r="C23" s="1" t="s">
        <v>117</v>
      </c>
      <c r="D23" s="58">
        <f>IF(D7&gt;0,D7,D18)</f>
        <v>2.034434664530713E-2</v>
      </c>
      <c r="E23" s="3" t="s">
        <v>25</v>
      </c>
    </row>
    <row r="24" spans="1:10">
      <c r="A24" s="37"/>
    </row>
    <row r="25" spans="1:10">
      <c r="A25" s="37"/>
    </row>
  </sheetData>
  <sheetProtection algorithmName="SHA-512" hashValue="3wl0IFZvESls4v3Pccou3SQEjEZvguyeyJhoGBZxQ36ipldJXK6YEKJm4jmzyuo9hW594stoEYUvvwumyeCLvw==" saltValue="1XGx1xEK7Nu2d4WhkNwA3Q==" spinCount="100000" sheet="1" objects="1" scenarios="1"/>
  <conditionalFormatting sqref="H2">
    <cfRule type="containsText" dxfId="9" priority="1" operator="containsText" text="&lt;&lt;&lt;">
      <formula>NOT(ISERROR(SEARCH("&lt;&lt;&lt;",H2)))</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C41D-5EC4-4EDB-B864-2A1CCCF36AD1}">
  <sheetPr codeName="Sheet8">
    <tabColor theme="8"/>
  </sheetPr>
  <dimension ref="A1:O54"/>
  <sheetViews>
    <sheetView zoomScaleNormal="100" workbookViewId="0"/>
  </sheetViews>
  <sheetFormatPr defaultRowHeight="15"/>
  <cols>
    <col min="1" max="1" width="9.140625" style="55"/>
    <col min="2" max="2" width="12.5703125" style="55" customWidth="1"/>
    <col min="3" max="3" width="55.28515625" style="55" customWidth="1"/>
    <col min="4" max="6" width="16.140625" style="55" customWidth="1"/>
    <col min="7" max="7" width="16.140625" style="23" hidden="1" customWidth="1"/>
    <col min="8" max="8" width="55.85546875" style="55" hidden="1" customWidth="1"/>
    <col min="9" max="9" width="24.140625" style="55" customWidth="1"/>
    <col min="10" max="10" width="12.7109375" customWidth="1"/>
    <col min="11" max="11" width="18.85546875" customWidth="1"/>
    <col min="12" max="12" width="16.140625" style="55" customWidth="1"/>
    <col min="13" max="14" width="9.140625" style="55"/>
    <col min="15" max="15" width="39.5703125" style="55" customWidth="1"/>
    <col min="16" max="16" width="9.140625" style="55"/>
    <col min="17" max="17" width="19" style="55" customWidth="1"/>
    <col min="18" max="18" width="44.7109375" style="55" customWidth="1"/>
    <col min="19" max="16384" width="9.140625" style="55"/>
  </cols>
  <sheetData>
    <row r="1" spans="1:15" s="17" customFormat="1">
      <c r="A1" s="17" t="s">
        <v>182</v>
      </c>
      <c r="B1" s="17" t="s">
        <v>184</v>
      </c>
      <c r="C1" s="17" t="s">
        <v>183</v>
      </c>
      <c r="D1" s="114" t="s">
        <v>157</v>
      </c>
      <c r="E1" s="17" t="s">
        <v>140</v>
      </c>
      <c r="G1" s="17" t="s">
        <v>351</v>
      </c>
      <c r="H1" s="17" t="s">
        <v>158</v>
      </c>
      <c r="I1" s="17" t="s">
        <v>159</v>
      </c>
      <c r="J1"/>
      <c r="K1"/>
    </row>
    <row r="2" spans="1:15" ht="21.75" thickBot="1">
      <c r="B2" s="15"/>
      <c r="D2" s="96">
        <f>'2.1 Exposure from sleeping..'!$D$2</f>
        <v>1000</v>
      </c>
      <c r="E2" s="100" t="str">
        <f>'2.1 Exposure from sleeping..'!$E$2</f>
        <v>µg</v>
      </c>
      <c r="I2" s="97" t="s">
        <v>344</v>
      </c>
    </row>
    <row r="3" spans="1:15" ht="21.75" thickTop="1">
      <c r="A3" s="37" t="s">
        <v>174</v>
      </c>
      <c r="B3" s="15" t="s">
        <v>226</v>
      </c>
      <c r="D3" s="89" t="s">
        <v>328</v>
      </c>
      <c r="E3" s="4" t="str">
        <f>Input!E63</f>
        <v>solid</v>
      </c>
      <c r="O3" s="1"/>
    </row>
    <row r="4" spans="1:15" ht="30">
      <c r="A4" s="37" t="s">
        <v>228</v>
      </c>
      <c r="B4" s="33" t="s">
        <v>279</v>
      </c>
      <c r="C4" s="11" t="s">
        <v>227</v>
      </c>
      <c r="D4" s="76" t="s">
        <v>55</v>
      </c>
      <c r="E4" s="76" t="s">
        <v>284</v>
      </c>
      <c r="I4"/>
    </row>
    <row r="5" spans="1:15" ht="17.25">
      <c r="A5" s="37"/>
      <c r="B5" s="2" t="s">
        <v>24</v>
      </c>
      <c r="C5" s="1" t="s">
        <v>28</v>
      </c>
      <c r="D5" s="58">
        <f xml:space="preserve"> $D$2 * Input!$E$66 * Input!$E$67 * Input!$E$68 *Input!$E$14 *Input!$E$70 / ('Reference data'!$C$7 *Input!$E$49)</f>
        <v>9.2183219178082205E-4</v>
      </c>
      <c r="E5" s="58">
        <f xml:space="preserve"> $D$2 * Input!$E$66 * Input!$E$67 * Input!$E$69 *Input!$E$14 *Input!$E$70 / ('Reference data'!$C$7 *Input!$E$49)</f>
        <v>9.2183219178082199E-3</v>
      </c>
      <c r="F5" s="3" t="str">
        <f xml:space="preserve"> $E$2 &amp; G5</f>
        <v>µg kgbw ⁻¹ d⁻¹</v>
      </c>
      <c r="G5" s="2" t="s">
        <v>345</v>
      </c>
      <c r="H5" s="63" t="s">
        <v>210</v>
      </c>
      <c r="I5" s="73"/>
      <c r="L5" s="12"/>
    </row>
    <row r="6" spans="1:15" ht="17.25">
      <c r="A6" s="37"/>
      <c r="B6" s="2" t="s">
        <v>24</v>
      </c>
      <c r="C6" s="1" t="s">
        <v>29</v>
      </c>
      <c r="D6" s="58">
        <f xml:space="preserve"> $D$2 * Input!$E$66 * Input!$E$67 * Input!$E$68 *Input!$E$14 *Input!$E$70 / ('Reference data'!$D$7 *Input!$E$49)</f>
        <v>2.3142230756003899E-3</v>
      </c>
      <c r="E6" s="58">
        <f xml:space="preserve"> $D$2 * Input!$E$66 * Input!$E$67 * Input!$E$69 *Input!$E$14 *Input!$E$70 / ('Reference data'!$D$7 *Input!$E$49)</f>
        <v>2.3142230756003902E-2</v>
      </c>
      <c r="F6" s="3" t="str">
        <f xml:space="preserve"> $E$2 &amp; G6</f>
        <v>µg kgbw ⁻¹ d⁻¹</v>
      </c>
      <c r="G6" s="2" t="s">
        <v>345</v>
      </c>
      <c r="H6" s="57"/>
    </row>
    <row r="7" spans="1:15">
      <c r="A7" s="37"/>
      <c r="B7" s="2"/>
      <c r="C7" s="1"/>
      <c r="D7" s="6"/>
      <c r="E7" s="6"/>
      <c r="F7" s="3"/>
      <c r="G7" s="2"/>
      <c r="H7" s="57"/>
    </row>
    <row r="8" spans="1:15" ht="18">
      <c r="A8" s="37"/>
      <c r="B8" s="2" t="s">
        <v>26</v>
      </c>
      <c r="C8" s="55" t="s">
        <v>111</v>
      </c>
      <c r="D8" s="58">
        <f xml:space="preserve"> $D$2 * Input!$E$66 * Input!$E$67 * Input!$E$68 *Input!$E$14 /('Reference data'!$C$7)</f>
        <v>8.411718750000001E-2</v>
      </c>
      <c r="E8" s="58">
        <f xml:space="preserve"> $D$2 * Input!$E$66 * Input!$E$67 * Input!$E$69 *Input!$E$14 /('Reference data'!$C$7)</f>
        <v>0.84117187500000012</v>
      </c>
      <c r="F8" s="3" t="s">
        <v>234</v>
      </c>
      <c r="G8" s="2"/>
      <c r="H8" s="63" t="s">
        <v>211</v>
      </c>
      <c r="L8" s="12"/>
    </row>
    <row r="9" spans="1:15" ht="18">
      <c r="A9" s="37"/>
      <c r="B9" s="2" t="s">
        <v>26</v>
      </c>
      <c r="C9" s="55" t="s">
        <v>112</v>
      </c>
      <c r="D9" s="58">
        <f xml:space="preserve"> $D$2 * Input!$E$66 * Input!$E$67 * Input!$E$68 *Input!$E$14 /('Reference data'!$D$7)</f>
        <v>0.21117285564853561</v>
      </c>
      <c r="E9" s="58">
        <f xml:space="preserve"> $D$2 * Input!$E$66 * Input!$E$67 * Input!$E$69 *Input!$E$14 /('Reference data'!$D$7)</f>
        <v>2.1117285564853558</v>
      </c>
      <c r="F9" s="3" t="s">
        <v>234</v>
      </c>
      <c r="G9" s="2"/>
      <c r="H9" s="57"/>
    </row>
    <row r="10" spans="1:15">
      <c r="A10" s="37"/>
      <c r="B10" s="2"/>
      <c r="D10" s="64"/>
      <c r="H10" s="57"/>
    </row>
    <row r="11" spans="1:15">
      <c r="A11" s="37" t="s">
        <v>229</v>
      </c>
      <c r="B11" s="75" t="s">
        <v>280</v>
      </c>
      <c r="C11" s="71" t="s">
        <v>235</v>
      </c>
      <c r="D11" s="64"/>
      <c r="H11" s="57"/>
    </row>
    <row r="12" spans="1:15" ht="17.25">
      <c r="A12" s="37"/>
      <c r="B12" s="2" t="s">
        <v>24</v>
      </c>
      <c r="C12" s="1" t="s">
        <v>28</v>
      </c>
      <c r="D12" s="58">
        <f xml:space="preserve"> $D$2 * Input!$E$71 * Input!$E$68 * Input!$E$14 *Input!$E$70 / ('Reference data'!$C$7 *Input!$E$49)</f>
        <v>4.5662100456621003E-4</v>
      </c>
      <c r="E12" s="58">
        <f xml:space="preserve"> $D$2 * Input!$E$71 * Input!$E$69 * Input!$E$14 *Input!$E$70 / ('Reference data'!$C$7 *Input!$E$49)</f>
        <v>4.5662100456621002E-3</v>
      </c>
      <c r="F12" s="3" t="str">
        <f t="shared" ref="F12:F16" si="0" xml:space="preserve"> $E$2 &amp; G12</f>
        <v>µg kgbw ⁻¹ d⁻¹</v>
      </c>
      <c r="G12" s="2" t="s">
        <v>345</v>
      </c>
      <c r="H12" s="57"/>
    </row>
    <row r="13" spans="1:15" ht="17.25">
      <c r="A13" s="37"/>
      <c r="B13" s="2" t="s">
        <v>24</v>
      </c>
      <c r="C13" s="1" t="s">
        <v>29</v>
      </c>
      <c r="D13" s="58">
        <f xml:space="preserve"> $D$2 * Input!$E$71 * Input!$E$68 * Input!$E$14 *Input!$E$70 / ('Reference data'!$D$7 *Input!$E$49)</f>
        <v>1.1463288817561759E-3</v>
      </c>
      <c r="E13" s="58">
        <f xml:space="preserve"> $D$2 * Input!$E$71 * Input!$E$69 * Input!$E$14 *Input!$E$70 / ('Reference data'!$D$7 *Input!$E$49)</f>
        <v>1.1463288817561758E-2</v>
      </c>
      <c r="F13" s="3" t="str">
        <f t="shared" si="0"/>
        <v>µg kgbw ⁻¹ d⁻¹</v>
      </c>
      <c r="G13" s="2" t="s">
        <v>345</v>
      </c>
      <c r="H13" s="57"/>
    </row>
    <row r="14" spans="1:15">
      <c r="A14" s="37"/>
      <c r="B14" s="2"/>
      <c r="C14" s="1"/>
      <c r="D14" s="6"/>
      <c r="E14" s="6"/>
      <c r="F14" s="3"/>
      <c r="G14" s="2"/>
      <c r="H14" s="57"/>
    </row>
    <row r="15" spans="1:15" ht="18">
      <c r="A15" s="37"/>
      <c r="B15" s="2" t="s">
        <v>26</v>
      </c>
      <c r="C15" s="55" t="s">
        <v>111</v>
      </c>
      <c r="D15" s="58">
        <f xml:space="preserve"> $D$2 * Input!$E$71 * Input!$E$68 * Input!$E$14 /('Reference data'!$C$7)</f>
        <v>4.1666666666666664E-2</v>
      </c>
      <c r="E15" s="58">
        <f xml:space="preserve"> $D$2 * Input!$E$71 * Input!$E$69 * Input!$E$14 /('Reference data'!$C$7)</f>
        <v>0.41666666666666669</v>
      </c>
      <c r="F15" s="3" t="str">
        <f t="shared" si="0"/>
        <v>µg kgbw ⁻¹</v>
      </c>
      <c r="G15" s="2" t="s">
        <v>346</v>
      </c>
      <c r="H15" s="57"/>
    </row>
    <row r="16" spans="1:15" ht="18">
      <c r="A16" s="37"/>
      <c r="B16" s="2" t="s">
        <v>26</v>
      </c>
      <c r="C16" s="55" t="s">
        <v>112</v>
      </c>
      <c r="D16" s="58">
        <f xml:space="preserve"> $D$2 * Input!$E$71 * Input!$E$68 * Input!$E$14 /('Reference data'!$D$7)</f>
        <v>0.10460251046025106</v>
      </c>
      <c r="E16" s="58">
        <f xml:space="preserve"> $D$2 * Input!$E$71 * Input!$E$69 * Input!$E$14 /('Reference data'!$D$7)</f>
        <v>1.0460251046025104</v>
      </c>
      <c r="F16" s="3" t="str">
        <f t="shared" si="0"/>
        <v>µg kgbw ⁻¹</v>
      </c>
      <c r="G16" s="2" t="s">
        <v>346</v>
      </c>
      <c r="H16" s="57"/>
    </row>
    <row r="17" spans="1:8">
      <c r="A17" s="37"/>
      <c r="B17" s="2"/>
      <c r="D17" s="64"/>
      <c r="H17" s="57"/>
    </row>
    <row r="18" spans="1:8">
      <c r="A18" s="37" t="s">
        <v>230</v>
      </c>
      <c r="C18" s="71" t="s">
        <v>236</v>
      </c>
      <c r="D18" s="64"/>
      <c r="H18" s="57"/>
    </row>
    <row r="19" spans="1:8" ht="17.25">
      <c r="A19" s="37"/>
      <c r="B19" s="2" t="s">
        <v>24</v>
      </c>
      <c r="C19" s="1" t="s">
        <v>28</v>
      </c>
      <c r="D19" s="58">
        <f xml:space="preserve"> $D$2 *Input!$E$72 * Input!$E$14 * 0.1 * Input!$E$51 * Input!$E$74/('Reference data'!$C$7 * Input!$E$49)</f>
        <v>0.74885844748858432</v>
      </c>
      <c r="F19" s="3" t="str">
        <f t="shared" ref="F19:F20" si="1" xml:space="preserve"> $E$2 &amp; G19</f>
        <v>µg kgbw ⁻¹ d⁻¹</v>
      </c>
      <c r="G19" s="2" t="s">
        <v>345</v>
      </c>
      <c r="H19" s="57"/>
    </row>
    <row r="20" spans="1:8" ht="17.25">
      <c r="A20" s="37"/>
      <c r="B20" s="2" t="s">
        <v>24</v>
      </c>
      <c r="C20" s="1" t="s">
        <v>29</v>
      </c>
      <c r="D20" s="58">
        <f xml:space="preserve"> $D$2 *Input!$E$72 * Input!$E$14 * 0.1 * Input!$E$52 * Input!$E$74/('Reference data'!$D$7 * Input!$E$49)</f>
        <v>0.98584283831031128</v>
      </c>
      <c r="F20" s="3" t="str">
        <f t="shared" si="1"/>
        <v>µg kgbw ⁻¹ d⁻¹</v>
      </c>
      <c r="G20" s="2" t="s">
        <v>345</v>
      </c>
      <c r="H20" s="57"/>
    </row>
    <row r="21" spans="1:8">
      <c r="A21" s="37"/>
      <c r="B21" s="2"/>
      <c r="C21" s="1"/>
      <c r="D21" s="6"/>
      <c r="F21" s="3"/>
      <c r="G21" s="2"/>
      <c r="H21" s="57"/>
    </row>
    <row r="22" spans="1:8" ht="18">
      <c r="A22" s="37"/>
      <c r="B22" s="2" t="s">
        <v>26</v>
      </c>
      <c r="C22" s="55" t="s">
        <v>111</v>
      </c>
      <c r="D22" s="58">
        <f xml:space="preserve"> $D$2 *Input!$E$73 * Input!$E$14 * 0.1 * Input!$E$51 * Input!$E$74/('Reference data'!$C$7)</f>
        <v>68.333333333333314</v>
      </c>
      <c r="F22" s="3" t="str">
        <f t="shared" ref="F22:F23" si="2" xml:space="preserve"> $E$2 &amp; G22</f>
        <v>µg kgbw ⁻¹</v>
      </c>
      <c r="G22" s="2" t="s">
        <v>346</v>
      </c>
      <c r="H22" s="57"/>
    </row>
    <row r="23" spans="1:8" ht="18">
      <c r="A23" s="37"/>
      <c r="B23" s="2" t="s">
        <v>26</v>
      </c>
      <c r="C23" s="55" t="s">
        <v>112</v>
      </c>
      <c r="D23" s="58">
        <f xml:space="preserve"> $D$2 *Input!$E$73 * Input!$E$14 * 0.1 * Input!$E$52 * Input!$E$74/('Reference data'!$D$7)</f>
        <v>89.958158995815907</v>
      </c>
      <c r="F23" s="3" t="str">
        <f t="shared" si="2"/>
        <v>µg kgbw ⁻¹</v>
      </c>
      <c r="G23" s="2" t="s">
        <v>346</v>
      </c>
      <c r="H23" s="57"/>
    </row>
    <row r="24" spans="1:8">
      <c r="A24" s="37"/>
      <c r="B24" s="2"/>
      <c r="D24" s="64"/>
      <c r="H24" s="57"/>
    </row>
    <row r="25" spans="1:8">
      <c r="A25" s="37" t="s">
        <v>231</v>
      </c>
      <c r="C25" s="71" t="s">
        <v>237</v>
      </c>
      <c r="D25" s="64"/>
      <c r="H25" s="57"/>
    </row>
    <row r="26" spans="1:8" ht="17.25">
      <c r="A26" s="37"/>
      <c r="B26" s="2" t="s">
        <v>24</v>
      </c>
      <c r="C26" s="1" t="s">
        <v>28</v>
      </c>
      <c r="D26" s="64"/>
      <c r="E26" s="58">
        <f xml:space="preserve"> $D$2 * Input!$E$72 * Input!$E$14 * Input!$E$44 * Input!$E$74/('Reference data'!$C$7 * Input!$E$49)</f>
        <v>33.515981735159819</v>
      </c>
      <c r="F26" s="3" t="str">
        <f t="shared" ref="F26:F27" si="3" xml:space="preserve"> $E$2 &amp; G26</f>
        <v>µg kgbw ⁻¹ d⁻¹</v>
      </c>
      <c r="G26" s="2" t="s">
        <v>345</v>
      </c>
      <c r="H26" s="57"/>
    </row>
    <row r="27" spans="1:8" ht="17.25">
      <c r="A27" s="37"/>
      <c r="B27" s="2" t="s">
        <v>24</v>
      </c>
      <c r="C27" s="1" t="s">
        <v>29</v>
      </c>
      <c r="D27" s="64"/>
      <c r="E27" s="58">
        <f xml:space="preserve"> $D$2 * Input!$E$72 * Input!$E$14 * Input!$E$45 * Input!$E$74/('Reference data'!$D$7 * Input!$E$49)</f>
        <v>40.35077663781739</v>
      </c>
      <c r="F27" s="3" t="str">
        <f t="shared" si="3"/>
        <v>µg kgbw ⁻¹ d⁻¹</v>
      </c>
      <c r="G27" s="2" t="s">
        <v>345</v>
      </c>
      <c r="H27" s="57"/>
    </row>
    <row r="28" spans="1:8">
      <c r="A28" s="37"/>
      <c r="B28" s="2"/>
      <c r="C28" s="1"/>
      <c r="D28" s="64"/>
      <c r="E28" s="6"/>
      <c r="F28" s="3"/>
      <c r="G28" s="2"/>
      <c r="H28" s="57"/>
    </row>
    <row r="29" spans="1:8" ht="18">
      <c r="A29" s="37"/>
      <c r="B29" s="2" t="s">
        <v>26</v>
      </c>
      <c r="C29" s="55" t="s">
        <v>111</v>
      </c>
      <c r="D29" s="64"/>
      <c r="E29" s="58">
        <f xml:space="preserve"> $D$2 * Input!E73 * Input!$E$14 * Input!$E$44 * Input!$E$74/('Reference data'!$C$7)</f>
        <v>3058.3333333333335</v>
      </c>
      <c r="F29" s="3" t="str">
        <f t="shared" ref="F29:F30" si="4" xml:space="preserve"> $E$2 &amp; G29</f>
        <v>µg kgbw ⁻¹</v>
      </c>
      <c r="G29" s="2" t="s">
        <v>346</v>
      </c>
      <c r="H29" s="57"/>
    </row>
    <row r="30" spans="1:8" ht="18">
      <c r="A30" s="37"/>
      <c r="B30" s="2" t="s">
        <v>26</v>
      </c>
      <c r="C30" s="55" t="s">
        <v>112</v>
      </c>
      <c r="D30" s="64"/>
      <c r="E30" s="58">
        <f xml:space="preserve"> $D$2 * Input!E73 * Input!$E$14 * Input!$E$45 * Input!$E$74/('Reference data'!$D$7)</f>
        <v>3682.0083682008371</v>
      </c>
      <c r="F30" s="3" t="str">
        <f t="shared" si="4"/>
        <v>µg kgbw ⁻¹</v>
      </c>
      <c r="G30" s="2" t="s">
        <v>346</v>
      </c>
      <c r="H30" s="57"/>
    </row>
    <row r="31" spans="1:8">
      <c r="A31" s="37"/>
      <c r="B31" s="2"/>
      <c r="D31" s="64"/>
      <c r="E31" s="64"/>
      <c r="H31" s="57"/>
    </row>
    <row r="32" spans="1:8">
      <c r="A32" s="37" t="s">
        <v>232</v>
      </c>
      <c r="C32" s="72" t="s">
        <v>238</v>
      </c>
      <c r="D32" s="64"/>
      <c r="E32" s="64"/>
      <c r="H32" s="57"/>
    </row>
    <row r="33" spans="1:12" ht="17.25">
      <c r="A33" s="37"/>
      <c r="B33" s="2" t="s">
        <v>24</v>
      </c>
      <c r="C33" s="1" t="s">
        <v>28</v>
      </c>
      <c r="D33" s="64"/>
      <c r="E33" s="58">
        <f xml:space="preserve"> $D$2 * Input!$E$72 * Input!$E$12 * 1 * Input!$E$51 * Input!$E$76 * Input!$E$74/('Reference data'!$C$7 * Input!$E$49)</f>
        <v>9.2109589041095887</v>
      </c>
      <c r="F33" s="3" t="str">
        <f t="shared" ref="F33:F34" si="5" xml:space="preserve"> $E$2 &amp; G33</f>
        <v>µg kgbw ⁻¹ d⁻¹</v>
      </c>
      <c r="G33" s="2" t="s">
        <v>345</v>
      </c>
      <c r="H33" s="57"/>
    </row>
    <row r="34" spans="1:12" ht="17.25">
      <c r="A34" s="37"/>
      <c r="B34" s="2" t="s">
        <v>24</v>
      </c>
      <c r="C34" s="1" t="s">
        <v>29</v>
      </c>
      <c r="D34" s="64"/>
      <c r="E34" s="58">
        <f xml:space="preserve"> $D$2 * Input!$E$72 * Input!$E$12 * 1 * Input!$E$52 *  Input!$E$76 * Input!$E$74/('Reference data'!$D$7 * Input!$E$49)</f>
        <v>12.125866911216828</v>
      </c>
      <c r="F34" s="3" t="str">
        <f t="shared" si="5"/>
        <v>µg kgbw ⁻¹ d⁻¹</v>
      </c>
      <c r="G34" s="2" t="s">
        <v>345</v>
      </c>
      <c r="H34" s="57"/>
    </row>
    <row r="35" spans="1:12">
      <c r="A35" s="37"/>
      <c r="B35" s="2"/>
      <c r="C35" s="1"/>
      <c r="D35" s="64"/>
      <c r="E35" s="6"/>
      <c r="F35" s="3"/>
      <c r="G35" s="2"/>
      <c r="H35" s="57"/>
    </row>
    <row r="36" spans="1:12" ht="18">
      <c r="A36" s="37"/>
      <c r="B36" s="2" t="s">
        <v>26</v>
      </c>
      <c r="C36" s="55" t="s">
        <v>32</v>
      </c>
      <c r="D36" s="64"/>
      <c r="E36" s="58">
        <f xml:space="preserve"> $D$2 * Input!$E$73 * Input!$E$12 * 1 * Input!$E$51 *  Input!$E$76 * Input!$E$74/('Reference data'!$C$7)</f>
        <v>840.5</v>
      </c>
      <c r="F36" s="3" t="str">
        <f t="shared" ref="F36:F37" si="6" xml:space="preserve"> $E$2 &amp; G36</f>
        <v>µg kgbw ⁻¹</v>
      </c>
      <c r="G36" s="2" t="s">
        <v>346</v>
      </c>
      <c r="H36" s="57"/>
    </row>
    <row r="37" spans="1:12" ht="18">
      <c r="A37" s="37"/>
      <c r="B37" s="2" t="s">
        <v>26</v>
      </c>
      <c r="C37" s="55" t="s">
        <v>33</v>
      </c>
      <c r="D37" s="64"/>
      <c r="E37" s="58">
        <f xml:space="preserve"> $D$2 * Input!$E$73 * Input!$E$12 * 1 * Input!$E$52 *  Input!$E$76 * Input!$E$74/('Reference data'!$D$7)</f>
        <v>1106.4853556485357</v>
      </c>
      <c r="F37" s="3" t="str">
        <f t="shared" si="6"/>
        <v>µg kgbw ⁻¹</v>
      </c>
      <c r="G37" s="2" t="s">
        <v>346</v>
      </c>
      <c r="H37" s="57"/>
    </row>
    <row r="38" spans="1:12">
      <c r="A38" s="37"/>
      <c r="B38" s="2"/>
      <c r="D38" s="105"/>
      <c r="E38" s="3"/>
      <c r="F38" s="3"/>
      <c r="G38" s="2"/>
      <c r="H38" s="57"/>
    </row>
    <row r="39" spans="1:12">
      <c r="A39" s="37" t="s">
        <v>233</v>
      </c>
      <c r="C39" s="72" t="s">
        <v>239</v>
      </c>
      <c r="D39" s="64"/>
    </row>
    <row r="40" spans="1:12" ht="17.25">
      <c r="A40" s="37"/>
      <c r="B40" s="2" t="s">
        <v>24</v>
      </c>
      <c r="C40" s="1" t="s">
        <v>28</v>
      </c>
      <c r="D40" s="58">
        <f xml:space="preserve"> $D$2 * Input!$E$78 * Input!$E$14 * Input!$E$51 * Input!$E$80 * Input!$E$74/('Reference data'!$C$7 * Input!$E$49)</f>
        <v>29.954337899543379</v>
      </c>
      <c r="F40" s="3" t="str">
        <f xml:space="preserve"> $E$2 &amp; G40</f>
        <v>µg kgbw ⁻¹ d⁻¹</v>
      </c>
      <c r="G40" s="2" t="s">
        <v>345</v>
      </c>
      <c r="H40" s="63" t="s">
        <v>212</v>
      </c>
      <c r="I40" s="63"/>
      <c r="L40" s="12"/>
    </row>
    <row r="41" spans="1:12">
      <c r="A41" s="37"/>
      <c r="B41" s="2"/>
      <c r="C41" s="1"/>
      <c r="D41" s="6"/>
      <c r="F41" s="3"/>
      <c r="G41" s="2"/>
      <c r="L41" s="12"/>
    </row>
    <row r="42" spans="1:12" ht="18">
      <c r="A42" s="37"/>
      <c r="B42" s="2" t="s">
        <v>26</v>
      </c>
      <c r="C42" s="55" t="s">
        <v>32</v>
      </c>
      <c r="D42" s="58">
        <f xml:space="preserve"> $D$2 * Input!E79 * Input!$E$14 * Input!$E$51 * Input!$E$80 * Input!$E$74/('Reference data'!$C$7)</f>
        <v>273.33333333333331</v>
      </c>
      <c r="F42" s="3" t="str">
        <f t="shared" ref="F42" si="7" xml:space="preserve"> $E$2 &amp; G42</f>
        <v>µg kgbw ⁻¹</v>
      </c>
      <c r="G42" s="2" t="s">
        <v>346</v>
      </c>
      <c r="H42" s="63" t="s">
        <v>213</v>
      </c>
      <c r="I42" s="63"/>
      <c r="L42" s="12"/>
    </row>
    <row r="43" spans="1:12">
      <c r="A43" s="37"/>
      <c r="B43" s="2"/>
      <c r="C43" s="1"/>
      <c r="D43" s="6"/>
      <c r="E43" s="6"/>
      <c r="F43" s="3"/>
      <c r="G43" s="2"/>
      <c r="L43" s="12"/>
    </row>
    <row r="44" spans="1:12">
      <c r="A44" s="37"/>
      <c r="C44" s="40" t="s">
        <v>278</v>
      </c>
    </row>
    <row r="45" spans="1:12">
      <c r="A45" s="37"/>
      <c r="B45" s="2"/>
      <c r="C45" s="55" t="s">
        <v>39</v>
      </c>
      <c r="D45" s="76" t="s">
        <v>55</v>
      </c>
      <c r="E45" s="76" t="s">
        <v>284</v>
      </c>
      <c r="F45" s="1"/>
      <c r="G45" s="2"/>
      <c r="H45" s="65"/>
      <c r="I45" s="65"/>
    </row>
    <row r="46" spans="1:12" ht="17.25">
      <c r="A46" s="37"/>
      <c r="B46" s="5"/>
      <c r="C46" s="13" t="s">
        <v>40</v>
      </c>
      <c r="D46" s="58">
        <f>D5+D12+D19</f>
        <v>0.75023690068493132</v>
      </c>
      <c r="E46" s="83">
        <f>E5+E12+E26+E33</f>
        <v>42.740725171232882</v>
      </c>
      <c r="F46" s="3" t="str">
        <f t="shared" ref="F46:F47" si="8" xml:space="preserve"> $E$2 &amp; G46</f>
        <v>µg kgbw ⁻¹ d⁻¹</v>
      </c>
      <c r="G46" s="2" t="s">
        <v>345</v>
      </c>
      <c r="H46" s="66" t="s">
        <v>97</v>
      </c>
      <c r="L46" s="12"/>
    </row>
    <row r="47" spans="1:12" ht="17.25">
      <c r="A47" s="37"/>
      <c r="C47" s="13" t="s">
        <v>41</v>
      </c>
      <c r="D47" s="58">
        <f>D6+D13+D20</f>
        <v>0.98930339026766789</v>
      </c>
      <c r="E47" s="83">
        <f>E6+E13+E27+E34</f>
        <v>52.511249068607782</v>
      </c>
      <c r="F47" s="3" t="str">
        <f t="shared" si="8"/>
        <v>µg kgbw ⁻¹ d⁻¹</v>
      </c>
      <c r="G47" s="2" t="s">
        <v>345</v>
      </c>
      <c r="H47" s="3"/>
      <c r="L47" s="12"/>
    </row>
    <row r="48" spans="1:12">
      <c r="A48" s="37"/>
      <c r="C48" s="55" t="s">
        <v>44</v>
      </c>
      <c r="D48" s="64"/>
      <c r="E48" s="106"/>
    </row>
    <row r="49" spans="1:12" ht="17.25">
      <c r="A49" s="37"/>
      <c r="C49" s="13" t="s">
        <v>40</v>
      </c>
      <c r="D49" s="58">
        <f>D8+D15+D22</f>
        <v>68.459117187499984</v>
      </c>
      <c r="E49" s="83">
        <f>E8+E15+E29+E36</f>
        <v>3900.0911718750003</v>
      </c>
      <c r="F49" s="3" t="str">
        <f t="shared" ref="F49:F50" si="9" xml:space="preserve"> $E$2 &amp; G49</f>
        <v>µg kgbw ⁻¹</v>
      </c>
      <c r="G49" s="2" t="s">
        <v>346</v>
      </c>
      <c r="H49" s="3"/>
      <c r="L49" s="12"/>
    </row>
    <row r="50" spans="1:12" ht="17.25">
      <c r="A50" s="37"/>
      <c r="C50" s="13" t="s">
        <v>41</v>
      </c>
      <c r="D50" s="58">
        <f>D9+D16+D23</f>
        <v>90.273934361924688</v>
      </c>
      <c r="E50" s="83">
        <f>E9+E16+E30+E37</f>
        <v>4791.6514775104606</v>
      </c>
      <c r="F50" s="3" t="str">
        <f t="shared" si="9"/>
        <v>µg kgbw ⁻¹</v>
      </c>
      <c r="G50" s="2" t="s">
        <v>346</v>
      </c>
      <c r="H50" s="3"/>
      <c r="L50" s="12"/>
    </row>
    <row r="51" spans="1:12">
      <c r="A51" s="37"/>
      <c r="D51" s="64"/>
      <c r="E51" s="64"/>
    </row>
    <row r="52" spans="1:12">
      <c r="A52" s="37"/>
      <c r="C52" s="40" t="s">
        <v>297</v>
      </c>
      <c r="D52" s="64"/>
      <c r="E52" s="64"/>
    </row>
    <row r="53" spans="1:12" ht="17.25">
      <c r="A53" s="37"/>
      <c r="C53" s="55" t="s">
        <v>39</v>
      </c>
      <c r="D53" s="58">
        <f>$D$40</f>
        <v>29.954337899543379</v>
      </c>
      <c r="E53" s="64"/>
      <c r="F53" s="3" t="str">
        <f xml:space="preserve"> $E$2 &amp; G53</f>
        <v>µg kgbw ⁻¹ d⁻¹</v>
      </c>
      <c r="G53" s="2" t="s">
        <v>345</v>
      </c>
    </row>
    <row r="54" spans="1:12" ht="17.25">
      <c r="C54" s="55" t="s">
        <v>44</v>
      </c>
      <c r="D54" s="58">
        <f>$D$42</f>
        <v>273.33333333333331</v>
      </c>
      <c r="E54" s="64"/>
      <c r="F54" s="3" t="str">
        <f t="shared" ref="F54" si="10" xml:space="preserve"> $E$2 &amp; G54</f>
        <v>µg kgbw ⁻¹</v>
      </c>
      <c r="G54" s="2" t="s">
        <v>346</v>
      </c>
    </row>
  </sheetData>
  <sheetProtection algorithmName="SHA-512" hashValue="OSxke1aiGvVZxhC88RpW2A5xVIOB6ntcj/jDpBqpbvN4RxbvVL3G7Lae7diu4oQafGejN07oNHg9FG7TKA/oVA==" saltValue="LJW6H7mWklR0e0/04f0JSA==" spinCount="100000" sheet="1" objects="1" scenarios="1"/>
  <conditionalFormatting sqref="I2">
    <cfRule type="containsText" dxfId="8" priority="1" operator="containsText" text="&lt;&lt;&lt;">
      <formula>NOT(ISERROR(SEARCH("&lt;&lt;&lt;",I2)))</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2FEC-61BC-431C-A19F-73874C0C1C1B}">
  <sheetPr codeName="Sheet9">
    <tabColor theme="7"/>
  </sheetPr>
  <dimension ref="B1:H38"/>
  <sheetViews>
    <sheetView workbookViewId="0"/>
  </sheetViews>
  <sheetFormatPr defaultRowHeight="15"/>
  <cols>
    <col min="2" max="2" width="12.28515625" customWidth="1"/>
    <col min="3" max="3" width="41.28515625" customWidth="1"/>
    <col min="4" max="4" width="9.5703125" bestFit="1" customWidth="1"/>
    <col min="5" max="5" width="15.140625" customWidth="1"/>
    <col min="6" max="6" width="12.28515625" style="23" hidden="1" customWidth="1"/>
  </cols>
  <sheetData>
    <row r="1" spans="2:8" ht="21">
      <c r="B1" s="15" t="s">
        <v>50</v>
      </c>
    </row>
    <row r="2" spans="2:8">
      <c r="E2" s="103" t="s">
        <v>140</v>
      </c>
      <c r="F2" s="103" t="s">
        <v>347</v>
      </c>
    </row>
    <row r="3" spans="2:8" ht="17.25">
      <c r="B3" s="23" t="s">
        <v>11</v>
      </c>
      <c r="C3" s="1" t="s">
        <v>3</v>
      </c>
      <c r="D3" s="83">
        <f>'2.1 Exposure from sleeping..'!$D$2 * Input!E23</f>
        <v>7.5</v>
      </c>
      <c r="E3" s="3" t="str">
        <f xml:space="preserve"> '2.1 Exposure from sleeping..'!$E$2 &amp; F3</f>
        <v>µg kgbw ⁻¹ d⁻¹</v>
      </c>
      <c r="F3" s="2" t="s">
        <v>345</v>
      </c>
    </row>
    <row r="4" spans="2:8" ht="18">
      <c r="B4" s="23" t="s">
        <v>190</v>
      </c>
      <c r="C4" s="1" t="s">
        <v>51</v>
      </c>
      <c r="D4" s="83">
        <f>'2.1 Exposure from sleeping..'!$D$2 * Input!E24</f>
        <v>37.500000000000007</v>
      </c>
      <c r="E4" s="3" t="str">
        <f xml:space="preserve"> '2.1 Exposure from sleeping..'!$E$2 &amp; F4</f>
        <v>µg kgbw ⁻¹</v>
      </c>
      <c r="F4" s="2" t="s">
        <v>346</v>
      </c>
    </row>
    <row r="5" spans="2:8">
      <c r="D5" s="104"/>
    </row>
    <row r="6" spans="2:8">
      <c r="B6" s="8" t="s">
        <v>121</v>
      </c>
      <c r="D6" s="104"/>
    </row>
    <row r="7" spans="2:8">
      <c r="C7" s="9" t="s">
        <v>123</v>
      </c>
      <c r="D7" s="104"/>
      <c r="G7" s="4" t="s">
        <v>45</v>
      </c>
    </row>
    <row r="8" spans="2:8" ht="18" thickBot="1">
      <c r="B8" s="2"/>
      <c r="C8" s="1" t="s">
        <v>46</v>
      </c>
      <c r="D8" s="112">
        <f>'2.1 Exposure from sleeping..'!D34</f>
        <v>6.1327499999999951E-2</v>
      </c>
      <c r="E8" s="3" t="str">
        <f xml:space="preserve"> '2.1 Exposure from sleeping..'!$E$2 &amp; F8</f>
        <v>µg kgbw ⁻¹ d⁻¹</v>
      </c>
      <c r="F8" s="2" t="s">
        <v>345</v>
      </c>
      <c r="G8" s="14">
        <f>D8/D$3</f>
        <v>8.1769999999999933E-3</v>
      </c>
      <c r="H8" s="14"/>
    </row>
    <row r="9" spans="2:8" ht="18.75" thickTop="1" thickBot="1">
      <c r="B9" s="2"/>
      <c r="C9" s="1" t="s">
        <v>47</v>
      </c>
      <c r="D9" s="112">
        <f>'2.1 Exposure from sleeping..'!E34</f>
        <v>8.4904550209204954E-2</v>
      </c>
      <c r="E9" s="3" t="str">
        <f xml:space="preserve"> '2.1 Exposure from sleeping..'!$E$2 &amp; F9</f>
        <v>µg kgbw ⁻¹ d⁻¹</v>
      </c>
      <c r="F9" s="2" t="s">
        <v>345</v>
      </c>
      <c r="G9" s="14">
        <f>D9/D$3</f>
        <v>1.1320606694560661E-2</v>
      </c>
      <c r="H9" s="14"/>
    </row>
    <row r="10" spans="2:8" ht="18.75" thickTop="1" thickBot="1">
      <c r="C10" t="s">
        <v>42</v>
      </c>
      <c r="D10" s="112">
        <f>'2.1 Exposure from sleeping..'!H34</f>
        <v>0.37866015524999963</v>
      </c>
      <c r="E10" s="3" t="str">
        <f xml:space="preserve"> '2.1 Exposure from sleeping..'!$E$2 &amp; F10</f>
        <v>µg kgbw ⁻¹ d⁻¹</v>
      </c>
      <c r="F10" s="2" t="s">
        <v>345</v>
      </c>
      <c r="G10" s="14">
        <f>D10/D$3</f>
        <v>5.0488020699999948E-2</v>
      </c>
      <c r="H10" s="14"/>
    </row>
    <row r="11" spans="2:8" ht="18.75" thickTop="1" thickBot="1">
      <c r="C11" t="s">
        <v>48</v>
      </c>
      <c r="D11" s="112">
        <f>'2.1 Exposure from sleeping..'!I34</f>
        <v>0.45562465710937461</v>
      </c>
      <c r="E11" s="3" t="str">
        <f xml:space="preserve"> '2.1 Exposure from sleeping..'!$E$2 &amp; F11</f>
        <v>µg kgbw ⁻¹ d⁻¹</v>
      </c>
      <c r="F11" s="2" t="s">
        <v>345</v>
      </c>
      <c r="G11" s="14">
        <f t="shared" ref="G11:G12" si="0">D11/D$3</f>
        <v>6.0749954281249949E-2</v>
      </c>
      <c r="H11" s="14"/>
    </row>
    <row r="12" spans="2:8" ht="18.75" thickTop="1" thickBot="1">
      <c r="C12" t="s">
        <v>49</v>
      </c>
      <c r="D12" s="112">
        <f>'2.3 Exposure via breast milk'!D22</f>
        <v>3.8751136467251673E-2</v>
      </c>
      <c r="E12" s="3" t="str">
        <f xml:space="preserve"> '2.1 Exposure from sleeping..'!$E$2 &amp; F12</f>
        <v>µg kgbw ⁻¹ d⁻¹</v>
      </c>
      <c r="F12" s="2" t="s">
        <v>345</v>
      </c>
      <c r="G12" s="14">
        <f t="shared" si="0"/>
        <v>5.1668181956335563E-3</v>
      </c>
      <c r="H12" s="14"/>
    </row>
    <row r="13" spans="2:8" ht="15.75" thickTop="1">
      <c r="D13" s="110"/>
      <c r="F13" s="2"/>
      <c r="H13" s="14"/>
    </row>
    <row r="14" spans="2:8">
      <c r="C14" s="9" t="s">
        <v>124</v>
      </c>
      <c r="D14" s="110"/>
      <c r="G14" s="4" t="s">
        <v>45</v>
      </c>
      <c r="H14" s="14"/>
    </row>
    <row r="15" spans="2:8" ht="18" thickBot="1">
      <c r="C15" t="s">
        <v>49</v>
      </c>
      <c r="D15" s="112">
        <f>'2.3 Exposure via breast milk'!D10</f>
        <v>1.4187951445731015</v>
      </c>
      <c r="E15" s="3" t="str">
        <f xml:space="preserve"> '2.1 Exposure from sleeping..'!$E$2 &amp; F15</f>
        <v>µg kgbw ⁻¹</v>
      </c>
      <c r="F15" s="2" t="s">
        <v>346</v>
      </c>
      <c r="G15" s="14">
        <f t="shared" ref="G15" si="1">D15/D$3</f>
        <v>0.1891726859430802</v>
      </c>
      <c r="H15" s="14"/>
    </row>
    <row r="16" spans="2:8" ht="15.75" thickTop="1">
      <c r="D16" s="110"/>
      <c r="H16" s="14"/>
    </row>
    <row r="17" spans="2:8">
      <c r="B17" s="8" t="s">
        <v>122</v>
      </c>
      <c r="D17" s="110"/>
      <c r="H17" s="14"/>
    </row>
    <row r="18" spans="2:8">
      <c r="C18" s="9" t="s">
        <v>123</v>
      </c>
      <c r="D18" s="110"/>
      <c r="G18" s="4" t="s">
        <v>45</v>
      </c>
      <c r="H18" s="14"/>
    </row>
    <row r="19" spans="2:8" ht="17.25">
      <c r="C19" s="1" t="s">
        <v>46</v>
      </c>
      <c r="D19" s="83">
        <f>'2.1 Exposure from sleeping..'!D34+'2.2 Exposure during washing'!D20</f>
        <v>0.18174737371575328</v>
      </c>
      <c r="E19" s="3" t="str">
        <f xml:space="preserve"> '2.1 Exposure from sleeping..'!$E$2 &amp; F19</f>
        <v>µg kgbw ⁻¹ d⁻¹</v>
      </c>
      <c r="F19" s="2" t="s">
        <v>345</v>
      </c>
      <c r="G19" s="14">
        <f>D19/D$3</f>
        <v>2.4232983162100437E-2</v>
      </c>
      <c r="H19" s="14"/>
    </row>
    <row r="20" spans="2:8" ht="17.25">
      <c r="C20" s="1" t="s">
        <v>47</v>
      </c>
      <c r="D20" s="83">
        <f>'2.1 Exposure from sleeping..'!E34+'2.2 Exposure during washing'!D21</f>
        <v>0.23280259052415869</v>
      </c>
      <c r="E20" s="3" t="str">
        <f xml:space="preserve"> '2.1 Exposure from sleeping..'!$E$2 &amp; F20</f>
        <v>µg kgbw ⁻¹ d⁻¹</v>
      </c>
      <c r="F20" s="2" t="s">
        <v>345</v>
      </c>
      <c r="G20" s="14">
        <f>D20/D$3</f>
        <v>3.1040345403221158E-2</v>
      </c>
      <c r="H20" s="14"/>
    </row>
    <row r="21" spans="2:8">
      <c r="D21" s="110"/>
      <c r="F21" s="2"/>
      <c r="H21" s="14"/>
    </row>
    <row r="22" spans="2:8">
      <c r="C22" s="9" t="s">
        <v>124</v>
      </c>
      <c r="D22" s="110"/>
      <c r="F22" s="2"/>
      <c r="G22" s="4" t="s">
        <v>45</v>
      </c>
      <c r="H22" s="14"/>
    </row>
    <row r="23" spans="2:8" ht="17.25">
      <c r="C23" s="1" t="s">
        <v>46</v>
      </c>
      <c r="D23" s="83">
        <f>'2.1 Exposure from sleeping..'!D34+'2.2 Exposure during washing'!D23</f>
        <v>6.6543155859374954</v>
      </c>
      <c r="E23" s="3" t="str">
        <f xml:space="preserve"> '2.1 Exposure from sleeping..'!$E$2 &amp; F23</f>
        <v>µg kgbw ⁻¹</v>
      </c>
      <c r="F23" s="2" t="s">
        <v>346</v>
      </c>
      <c r="G23" s="14">
        <f>D23/D$4</f>
        <v>0.17744841562499986</v>
      </c>
      <c r="H23" s="14"/>
    </row>
    <row r="24" spans="2:8" ht="17.25">
      <c r="C24" s="1" t="s">
        <v>47</v>
      </c>
      <c r="D24" s="83">
        <f>'2.1 Exposure from sleeping..'!E34+'2.2 Exposure during washing'!D24</f>
        <v>8.1823222574529222</v>
      </c>
      <c r="E24" s="3" t="str">
        <f xml:space="preserve"> '2.1 Exposure from sleeping..'!$E$2 &amp; F24</f>
        <v>µg kgbw ⁻¹</v>
      </c>
      <c r="F24" s="2" t="s">
        <v>346</v>
      </c>
      <c r="G24" s="14">
        <f>D24/D$4</f>
        <v>0.21819526019874455</v>
      </c>
      <c r="H24" s="14"/>
    </row>
    <row r="26" spans="2:8">
      <c r="B26" s="81"/>
      <c r="F26" s="2"/>
    </row>
    <row r="27" spans="2:8">
      <c r="F27" s="2"/>
    </row>
    <row r="28" spans="2:8">
      <c r="F28" s="2"/>
    </row>
    <row r="29" spans="2:8">
      <c r="F29" s="2"/>
    </row>
    <row r="33" spans="6:6">
      <c r="F33" s="2"/>
    </row>
    <row r="34" spans="6:6">
      <c r="F34" s="2"/>
    </row>
    <row r="37" spans="6:6">
      <c r="F37" s="2"/>
    </row>
    <row r="38" spans="6:6">
      <c r="F38" s="2"/>
    </row>
  </sheetData>
  <sheetProtection algorithmName="SHA-512" hashValue="YrUBXVJThGiEyfBg48vlMaSk8SGYn4+GXHFhit325zQ+u2YbqZlUM0lh9UozzuChol8TQkt4UakcCU/u1DS6LQ==" saltValue="PFo+JBCmhkE2VeJQnpz0wQ==" spinCount="100000" sheet="1" objects="1" scenarios="1"/>
  <conditionalFormatting sqref="G8:G12">
    <cfRule type="cellIs" dxfId="7" priority="7" operator="greaterThan">
      <formula>1</formula>
    </cfRule>
    <cfRule type="cellIs" dxfId="6" priority="8" operator="lessThan">
      <formula>1</formula>
    </cfRule>
  </conditionalFormatting>
  <conditionalFormatting sqref="G23:G24">
    <cfRule type="cellIs" dxfId="5" priority="1" operator="greaterThan">
      <formula>1</formula>
    </cfRule>
    <cfRule type="cellIs" dxfId="4" priority="2" operator="lessThan">
      <formula>1</formula>
    </cfRule>
  </conditionalFormatting>
  <conditionalFormatting sqref="G15">
    <cfRule type="cellIs" dxfId="3" priority="5" operator="greaterThan">
      <formula>1</formula>
    </cfRule>
    <cfRule type="cellIs" dxfId="2" priority="6" operator="lessThan">
      <formula>1</formula>
    </cfRule>
  </conditionalFormatting>
  <conditionalFormatting sqref="G19:G20">
    <cfRule type="cellIs" dxfId="1" priority="3" operator="greaterThan">
      <formula>1</formula>
    </cfRule>
    <cfRule type="cellIs" dxfId="0" priority="4" operator="lessThan">
      <formula>1</formula>
    </cfRule>
  </conditionalFormatting>
  <pageMargins left="0.7" right="0.7" top="0.75" bottom="0.75" header="0.3" footer="0.3"/>
  <pageSetup paperSize="9" orientation="portrait" r:id="rId1"/>
  <cellWatches>
    <cellWatch r="D19"/>
    <cellWatch r="D23"/>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Cover</vt:lpstr>
      <vt:lpstr>Introduction</vt:lpstr>
      <vt:lpstr>Acronyms</vt:lpstr>
      <vt:lpstr>Input</vt:lpstr>
      <vt:lpstr>2.1 Exposure from sleeping..</vt:lpstr>
      <vt:lpstr>2.2 Exposure during washing</vt:lpstr>
      <vt:lpstr>2.3 Exposure via breast milk</vt:lpstr>
      <vt:lpstr>Annex treating nets</vt:lpstr>
      <vt:lpstr>Risk characterization</vt:lpstr>
      <vt:lpstr>Reference data</vt:lpstr>
      <vt:lpstr>CA_FORMULATIONTYPE</vt:lpstr>
      <vt:lpstr>CA_FORMULATIONTYPE_LBL</vt:lpstr>
      <vt:lpstr>CA_TABLE_CONV</vt:lpstr>
      <vt:lpstr>CA_TABLE_CONV_LBL</vt:lpstr>
      <vt:lpstr>CA_TABLE4_LBL</vt:lpstr>
      <vt:lpstr>CA_TABLEA1</vt:lpstr>
      <vt:lpstr>CA_TABLEA1_LBL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2019-01-10T10:01:42Z</dcterms:created>
  <dcterms:modified xsi:type="dcterms:W3CDTF">2021-05-28T12:10:40Z</dcterms:modified>
</cp:coreProperties>
</file>