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olors1.xml" ContentType="application/vnd.ms-office.chartcolorstyle+xml"/>
  <Override PartName="/xl/charts/colors2.xml" ContentType="application/vnd.ms-office.chartcolorstyle+xml"/>
  <Override PartName="/xl/charts/style1.xml" ContentType="application/vnd.ms-office.chartstyle+xml"/>
  <Override PartName="/xl/charts/style2.xml" ContentType="application/vnd.ms-office.chartstyle+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850" firstSheet="1" activeTab="2"/>
  </bookViews>
  <sheets>
    <sheet name=" Clé" sheetId="7" state="hidden" r:id="rId1"/>
    <sheet name=" Outil" sheetId="1" r:id="rId2"/>
    <sheet name=" Analyse" sheetId="6" r:id="rId3"/>
  </sheets>
  <externalReferences>
    <externalReference r:id="rId7"/>
    <externalReference r:id="rId8"/>
    <externalReference r:id="rId9"/>
  </externalReferences>
  <definedNames>
    <definedName name="_xlnm._FilterDatabase" localSheetId="1" hidden="1">'[1]#REF'!$B$2:$L$19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<sst xmlns="http://schemas.openxmlformats.org/spreadsheetml/2006/main" count="424" uniqueCount="144">
  <si>
    <t>Existe</t>
  </si>
  <si>
    <t>Capacité</t>
  </si>
  <si>
    <t>État opérationnel</t>
  </si>
  <si>
    <t>Priorité</t>
  </si>
  <si>
    <t>Oui</t>
  </si>
  <si>
    <t>Aucune capacité</t>
  </si>
  <si>
    <t>Non opérationnel</t>
  </si>
  <si>
    <t>Aucune intervention nécessaire</t>
  </si>
  <si>
    <t>Non</t>
  </si>
  <si>
    <t>Capacité partielle</t>
  </si>
  <si>
    <t>Fonctions opérationnelles limitées</t>
  </si>
  <si>
    <t>Priorité à court terme</t>
  </si>
  <si>
    <t>Capacité mise en œuvre</t>
  </si>
  <si>
    <t>Entièrement opérationnel</t>
  </si>
  <si>
    <t>Priorité à moyen terme</t>
  </si>
  <si>
    <t>Non applicable</t>
  </si>
  <si>
    <t>Priorité à long terme</t>
  </si>
  <si>
    <t>Inconnu</t>
  </si>
  <si>
    <t>#</t>
  </si>
  <si>
    <t>Section</t>
  </si>
  <si>
    <t>Sous-section</t>
  </si>
  <si>
    <t>Indicateur</t>
  </si>
  <si>
    <t>Date d'achèvement/Dernière mise à jour</t>
  </si>
  <si>
    <t>Agence principale</t>
  </si>
  <si>
    <t>Point de contact dans le pays</t>
  </si>
  <si>
    <t>Commentaires</t>
  </si>
  <si>
    <t>EMU</t>
  </si>
  <si>
    <t>Plans et processus</t>
  </si>
  <si>
    <t>Évaluation des risques d'urgence et de l'état de préparation spécifique à un pays réalisée au cours des 3 dernières années (par exemple, STAR)</t>
  </si>
  <si>
    <t>L'équipe nationale d'intervention d'urgence médicale est incluse dans le plan d'urgence stratégique du pays</t>
  </si>
  <si>
    <t>L'équipe nationale d'intervention d'urgence médicale est incluse dans le plan d'urgence opérationnel du pays</t>
  </si>
  <si>
    <t>Contrats/accords juridiques établis avec d'autres ministères/agences nationales pour la mobilisation des EMU</t>
  </si>
  <si>
    <t>Les procédures opérationnelles standard nationales pour les services médicaux d'urgence ont été rédigées et finalisées par toutes les parties prenantes et les dirigeants concernés</t>
  </si>
  <si>
    <t>Les procédures opérationnelles standard (POS) sous-nationales des services médicaux d'urgence (EMU) ont été rédigées et finalisées par toutes les parties prenantes et les dirigeants concernés</t>
  </si>
  <si>
    <t>EMU national formé, organisé et prêt à être déployé au niveau national</t>
  </si>
  <si>
    <t xml:space="preserve"> EMU infranational formé, organisé et prêt à être déployé au niveau infranationalniveau</t>
  </si>
  <si>
    <t>Considérations administratives</t>
  </si>
  <si>
    <t xml:space="preserve"> Identifier les ressources humaines pour gérer/soutenir le programme EMU avantet lors d'un événement de santé publique</t>
  </si>
  <si>
    <t>Le personnel de gestion de l'EMU est équipé des outils technologiques nécessaires pour collecter et gérer les données et les informations relatives aux membres de l'EMU (c.-à-d. ordinateurs portables, Internet, outils d'enquête, tableaux de bord, etc.)</t>
  </si>
  <si>
    <t>Le personnel de gestion des services médicaux d'urgence a été formé à la gestion d'un programme médical d'urgence durable.</t>
  </si>
  <si>
    <t>Établissement d'un budget EMU tenant compte des opérations de préparation et d'intervention requises (c.-à-d. salaire, indemnités journalières, programmes de formation, déplacements, équipement, vaccinations, maintenance de la base de données, etc.)</t>
  </si>
  <si>
    <t>Établi durablement [interne] soutien financier au programme EMU pour soutenir les coûts administratifs, la préparation des membres et les déploiements de l'EMU</t>
  </si>
  <si>
    <t>Ressources et mécanismes identifiés pour assurer la sécurité, la santé et le bien-être des ambulanciers paramédicaux, y compris dans la planification des ambulanciers paramédicaux (par exemple, assurance médicale/invalidité/vie, soins médicaux, soins de santé mentale, évacuation d'urgence, etc.)</t>
  </si>
  <si>
    <t>Système établi pour identifier et se procurer l'équipement EMU nécessaire, y compris la maintenance de l'entrepôt de fournitures médicales et non médicales</t>
  </si>
  <si>
    <t>Dotation en personnel et planification</t>
  </si>
  <si>
    <t>Le processus de recrutement cible un personnel multisectoriel doté d'expertises techniques différentes</t>
  </si>
  <si>
    <t>Processus de recrutement EMU formalisé avec critères d'inclusion/exclusion et aligné sur l'évaluation des risques pays</t>
  </si>
  <si>
    <t>Processus établi pour un recrutement continu basé sur l'attrition</t>
  </si>
  <si>
    <t>Processus établi pour la collecte de données sur les compétences, l'expérience et les coordonnées des membres de l'EMU</t>
  </si>
  <si>
    <t>Développé une base de données à jour (alias liste) d'informations clés sur les membres de l'EMU, y compris les licences médicales et l'enregistrement selon les besoins, pour permettre des sélections rapides et personnalisées en fonction de l'événement de santé publique</t>
  </si>
  <si>
    <t>Programme de formation</t>
  </si>
  <si>
    <t>Mise en place d'un programme de formation continue des techniciens médicaux d'urgence (EMU) aligné sur les compétences d'urgence normalisées</t>
  </si>
  <si>
    <t>Mise en œuvre d'une formation d'intégration pour les nouveaux membres de l'EMU, y compris la fourniture d'une formation technique, opérationnelle et administrative initiale tous risques</t>
  </si>
  <si>
    <t>Mise en place d'un dispositif de formation continue pour les membres actuels de l'EMU sur les compétences techniques supplémentaires liées aux déploiements sur le terrain, aux compétences générales et aux mises à jour des interventions</t>
  </si>
  <si>
    <t>Développement d'un référentiel interne de formations ponctuelles spécifiques à une maladie ou à un événement</t>
  </si>
  <si>
    <t>Activation et pré-déploiement</t>
  </si>
  <si>
    <t>Élaboration de procédures opérationnelles standard (POS) préalables au déploiement (par exemple, composition de l'EMU, briefing, formation juste à temps, équipement, etc.)</t>
  </si>
  <si>
    <t>Établissement de critères définis et écrits pour l'activation du programme EMU afin de déployer des membres EMU sur le terrain</t>
  </si>
  <si>
    <t>Mise en place d'un processus d'information préalable au déploiement des EMU</t>
  </si>
  <si>
    <t>Des formations spécifiques aux maladies avant le déploiement des EMU ont été identifiées et menées pour les maladies prioritaires</t>
  </si>
  <si>
    <t>Déploiement</t>
  </si>
  <si>
    <t>Développer des POS de déploiement (par exemple, communication, reporting, évolution de l'équipe, etc.)</t>
  </si>
  <si>
    <t>Mécanismes définis (par exemple, modèles, modalités, etc.) pour la communication des rapports EMU au responsable EMU, à l'EMUCC ou à une autre unité de coordination</t>
  </si>
  <si>
    <t>Élaboration de termes de référence standard pour les postes fréquemment déployés</t>
  </si>
  <si>
    <t>Élaboration de protocoles et de procédures de partage d'informations sur le terrain via un modèle de rapport standardisé (par exemple, MDS basé sur les cas EMU)</t>
  </si>
  <si>
    <t>Critères définis pour la démobilisation des membres de l'EMU afin qu'ils puissent rentrer chez eux après le terrain</t>
  </si>
  <si>
    <t>Élaboration de procédures de démobilisation (par exemple, notification, procédures de clôture de transfert)</t>
  </si>
  <si>
    <t>Post-déploiement</t>
  </si>
  <si>
    <t>Élaborer des POS post-déploiement (par exemple, critères de démobilisation, débriefings, etc.)</t>
  </si>
  <si>
    <t>Processus développé pour fournir des ressources médicales et/ou de santé mentale après le déploiement</t>
  </si>
  <si>
    <t>Mise en place d'un processus de compte rendu et/ou d'analyse après action</t>
  </si>
  <si>
    <t>Suivi et évaluation</t>
  </si>
  <si>
    <t>Élaboration d'un suivi, d'une évaluation et d'une planification d'amélioration du programme EMU (par exemple, enquêtes, groupes de discussion, entretiens, observation, examen après action, compte rendu après déploiement, etc.)</t>
  </si>
  <si>
    <t>Système établi pour la collecte et la gestion des données des activités EMU menées</t>
  </si>
  <si>
    <t>Processus développé pour mettre à jour les POS avec les leçons tirées de l'évaluation des activités de pré-déploiement, de déploiement et de post-déploiement de l'EMU</t>
  </si>
  <si>
    <t>Élaboration d'un plan d'action correctif menant à des changements administratifs/de formation dans le programme EMU</t>
  </si>
  <si>
    <t>Considérations transfrontalières</t>
  </si>
  <si>
    <t>A établi un accord de collaboration transfrontalier, des cadres juridiques, des protocoles d'accord ou autres pour faciliter les déploiements EMU bilatéraux, multilatéraux ou autres déploiements régionaux</t>
  </si>
  <si>
    <t>Participation des membres nationaux de l'EMU à des exercices conjoints de formation transfrontalière, de simulation et/ou de simulation [2]</t>
  </si>
  <si>
    <t>Formation du personnel EMU national sur la mise en œuvre du plan d'intervention et des POS correspondantes.</t>
  </si>
  <si>
    <t>EIR</t>
  </si>
  <si>
    <t>Le programme national de EIR est inclus dans le plan d'urgence stratégique du pays</t>
  </si>
  <si>
    <t>Le programme national de EIR est inclus dans le plan opérationnel d'urgence du pays</t>
  </si>
  <si>
    <t>Contrats/accords juridiques établis avec d’autres ministères/agences nationales pour la mobilisation multisectorielle de la EIR</t>
  </si>
  <si>
    <t>Les procédures opérationnelles normalisées nationales de EIR ont été rédigées et finalisées par toutes les parties prenantes et les dirigeants concernés</t>
  </si>
  <si>
    <t>Les procédures opérationnelles standard infranationales de EIR ont été rédigées et finalisées par toutes les parties prenantes et les dirigeants concernés</t>
  </si>
  <si>
    <t>L'équipe nationale de réponse rapide est formée, organisée et prête à être déployée au niveau national</t>
  </si>
  <si>
    <t>EIR infranational formé, organisé et prêt à être déployé au niveau national</t>
  </si>
  <si>
    <t xml:space="preserve"> Identifier les ressources humaines pour gérer/soutenir le programme EIR avantet lors d'un événement de santé publique</t>
  </si>
  <si>
    <t>Le personnel de gestion du EIR est équipé des outils technologiques nécessaires pour collecter et gérer les données et les informations relatives aux membres du EIR (c.-à-d. ordinateurs portables, Internet, outils d'enquête, tableaux de bord, etc.)</t>
  </si>
  <si>
    <t>Le personnel de gestion du EIR a été formé à la gestion d'un programme EIR durable</t>
  </si>
  <si>
    <t>Établissement d'un budget EIR prenant en compte les opérations de préparation et d'intervention requises (c.-à-d. salaire, indemnités journalières, programmes de formation, déplacements, équipement, vaccinations, maintenance de la base de données, etc.)</t>
  </si>
  <si>
    <t xml:space="preserve"> Établi durablementinterne soutien financier au programme EIR pour soutenir les coûts administratifs, la préparation des membres et les déploiements du EIR</t>
  </si>
  <si>
    <t>Ressources et mécanismes identifiés pour assurer la sécurité, la santé et le bien-être des EIR, y compris dans la planification des EIR (par exemple, assurance médicale/invalidité/vie, soins médicaux, soins de santé mentale, évacuation d'urgence, etc.)</t>
  </si>
  <si>
    <t>Le processus de recrutement cible un personnel multisectoriel doté d'une expertise technique différente pour utiliser au mieux une approche One Health dans la réponse aux épidémies</t>
  </si>
  <si>
    <t>Processus de recrutement EIR formalisé avec critères d'inclusion/exclusion et aligné sur l'évaluation des risques pays</t>
  </si>
  <si>
    <t>Processus établi pour la collecte de données sur les compétences, l'expérience et les coordonnées des membres du EIR</t>
  </si>
  <si>
    <t>Développé une base de données à jour (alias liste) d'informations clés sur les membres du EIR pour permettre des sélections rapides et personnalisées en fonction de l'événement de santé publique</t>
  </si>
  <si>
    <t>Mise en place d'un programme de formation continue EIR aligné sur les compétences d'urgence normalisées</t>
  </si>
  <si>
    <t>Mise en œuvre d'une formation d'intégration pour les nouveaux membres du EIR, y compris la fourniture d'une formation technique, opérationnelle et administrative initiale tous risques</t>
  </si>
  <si>
    <t>Mise en place d'un dispositif de formation continue pour les membres actuels de l'équipe EIR sur les compétences techniques supplémentaires liées aux déploiements sur le terrain, aux compétences générales et aux mises à jour des interventions</t>
  </si>
  <si>
    <t>One Health intégré aux exigences de formation des EIR</t>
  </si>
  <si>
    <t>Élaboration de procédures opérationnelles standard (POS) préalables au déploiement (par exemple, composition de l'équipe d'intervention rapide, briefing, formation juste à temps, équipement, etc.)</t>
  </si>
  <si>
    <t>Établissement de critères définis et écrits pour l'activation du programme EIR afin de déployer les membres du EIR sur le terrain</t>
  </si>
  <si>
    <t>Mise en place d'un processus d'information préalable au déploiement de la EIR</t>
  </si>
  <si>
    <t>Des formations spécifiques aux maladies avant le déploiement de l'équipe EIR ont été identifiées et menées pour les maladies prioritaires</t>
  </si>
  <si>
    <t>Système établi pour identifier et acquérir l'équipement EIR nécessaire</t>
  </si>
  <si>
    <t>Mécanismes définis (par exemple, modèles, modalités, etc.) pour les enquêtes de santé publique et les rapports (au responsable de l'EIR et au COU/COUSP ou à une autre unité de coordination, etc.)</t>
  </si>
  <si>
    <t>Élaboration de protocoles et de procédures de partage d’informations sur le terrain</t>
  </si>
  <si>
    <t>Critères définis pour la démobilisation des membres de la EIR afin qu'ils puissent rentrer chez eux après le terrain</t>
  </si>
  <si>
    <t>Élaborer un suivi, une évaluation et une planification d'amélioration du programme EIR (par exemple, enquêtes, groupes de discussion, entretiens, observation, examen après action, compte rendu après déploiement, etc.)</t>
  </si>
  <si>
    <t>Système établi pour la collecte et la gestion des données des activités EIR menées</t>
  </si>
  <si>
    <t>Processus développé pour mettre à jour les POS avec les leçons tirées de l'évaluation des activités de pré-déploiement, de déploiement et d'après-déploiement de la EIR</t>
  </si>
  <si>
    <t>Élaboration d'un plan d'action correctif menant à des changements administratifs/de formation dans le programme EIR</t>
  </si>
  <si>
    <t>Établir un accord de collaboration transfrontalier, des cadres juridiques, des protocoles d'accord ou autres pour faciliter les déploiements bilatéraux, multilatéraux ou autres déploiements régionaux de EIR</t>
  </si>
  <si>
    <t>Participation des membres nationaux de la EIR à des exercices conjoints de formation transfrontalière, de simulation et/ou de simulation [2]</t>
  </si>
  <si>
    <t>Formation du personnel national de l’EIR sur la mise en œuvre du plan d’intervention et des POS correspondantes.</t>
  </si>
  <si>
    <t xml:space="preserve"> Graphique radar</t>
  </si>
  <si>
    <t>Score de capacité</t>
  </si>
  <si>
    <t>Catégorie d'indicateur</t>
  </si>
  <si>
    <t>Somme</t>
  </si>
  <si>
    <t>Total</t>
  </si>
  <si>
    <t>F&amp;C</t>
  </si>
  <si>
    <t>COE/SMI</t>
  </si>
  <si>
    <t>Score opérationnel</t>
  </si>
  <si>
    <t>Opérationnel</t>
  </si>
  <si>
    <t>Cadres et coordination</t>
  </si>
  <si>
    <t>Équipes d'intervention rapide</t>
  </si>
  <si>
    <t>Équipes médicales d'urgence</t>
  </si>
  <si>
    <t>Centre des opérations d'urgence/Système de gestion des incidents</t>
  </si>
  <si>
    <t>Graphique à barres</t>
  </si>
  <si>
    <t>Calculs</t>
  </si>
  <si>
    <t>Pourcentage</t>
  </si>
  <si>
    <t>Planification</t>
  </si>
  <si>
    <t>Mécanismes de coordination et d'engagement des parties prenantes</t>
  </si>
  <si>
    <t>Rapports</t>
  </si>
  <si>
    <t>Financement</t>
  </si>
  <si>
    <t>IMS</t>
  </si>
  <si>
    <t>Système</t>
  </si>
  <si>
    <t>Personnel/RH</t>
  </si>
  <si>
    <t>COE</t>
  </si>
  <si>
    <t>Opérations</t>
  </si>
  <si>
    <t>Considérations transfrontalières (le cas échéant)</t>
  </si>
  <si>
    <t xml:space="preserve"> Considérations transfrontalières</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</si>
</sst>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0_-;\-* #,##0_-;_-* &quot;-&quot;_-;_-@_-"/>
    <numFmt numFmtId="43" formatCode="_-* #,##0.00_-;\-* #,##0.00_-;_-* &quot;-&quot;??_-;_-@_-"/>
    <numFmt numFmtId="176" formatCode="_-&quot;€&quot;* #,##0.00_-;\-&quot;€&quot;* #,##0.00_-;_-&quot;€&quot;* \-??_-;_-@_-"/>
    <numFmt numFmtId="177" formatCode="_-&quot;€&quot;* #,##0_-;\-&quot;€&quot;* #,##0_-;_-&quot;€&quot;* \-_-;_-@_-"/>
    <numFmt numFmtId="178" formatCode="0.0%"/>
    <numFmt numFmtId="179" formatCode="[$-409]mmm\-yy;@"/>
  </numFmts>
  <fonts count="32">
    <font>
      <sz val="11"/>
      <color theme="1"/>
      <name val="Calibri"/>
      <charset val="134"/>
      <scheme val="minor"/>
    </font>
    <font>
      <sz val="10"/>
      <color theme="1"/>
      <name val="Calibri"/>
      <charset val="134"/>
      <scheme val="minor"/>
    </font>
    <font>
      <b/>
      <sz val="14"/>
      <color theme="1"/>
      <name val="Calibri"/>
      <charset val="134"/>
      <scheme val="minor"/>
    </font>
    <font>
      <b/>
      <sz val="10"/>
      <color theme="1"/>
      <name val="Calibri"/>
      <charset val="134"/>
      <scheme val="minor"/>
    </font>
    <font>
      <sz val="10"/>
      <name val="Calibri"/>
      <charset val="134"/>
      <scheme val="minor"/>
    </font>
    <font>
      <strike/>
      <sz val="10"/>
      <color theme="1"/>
      <name val="Calibri"/>
      <charset val="134"/>
      <scheme val="minor"/>
    </font>
    <font>
      <sz val="10"/>
      <color theme="0"/>
      <name val="Calibri"/>
      <charset val="134"/>
    </font>
    <font>
      <sz val="10"/>
      <color rgb="FFFF0000"/>
      <name val="Calibri"/>
      <charset val="134"/>
    </font>
    <font>
      <sz val="10"/>
      <color rgb="FFFF0000"/>
      <name val="Calibri"/>
      <charset val="134"/>
      <scheme val="minor"/>
    </font>
    <font>
      <strike/>
      <sz val="10"/>
      <name val="Calibri"/>
      <charset val="134"/>
    </font>
    <font>
      <sz val="10"/>
      <name val="Calibri"/>
      <charset val="134"/>
    </font>
    <font>
      <b/>
      <sz val="11"/>
      <color theme="1"/>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5">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medium">
        <color auto="1"/>
      </top>
      <bottom/>
      <diagonal/>
    </border>
    <border>
      <left/>
      <right style="medium">
        <color auto="1"/>
      </right>
      <top style="thin">
        <color auto="1"/>
      </top>
      <bottom/>
      <diagonal/>
    </border>
    <border>
      <left style="thin">
        <color auto="1"/>
      </left>
      <right style="medium">
        <color auto="1"/>
      </right>
      <top style="thin">
        <color auto="1"/>
      </top>
      <bottom style="thin">
        <color auto="1"/>
      </bottom>
      <diagonal/>
    </border>
    <border>
      <left/>
      <right style="medium">
        <color auto="1"/>
      </right>
      <top/>
      <bottom/>
      <diagonal/>
    </border>
    <border>
      <left/>
      <right style="medium">
        <color auto="1"/>
      </right>
      <top/>
      <bottom style="thin">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thin">
        <color theme="0"/>
      </left>
      <right style="thin">
        <color theme="0"/>
      </right>
      <top style="thin">
        <color theme="0"/>
      </top>
      <bottom style="thin">
        <color theme="0"/>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2" fillId="0" borderId="0" applyFont="0" applyFill="0" applyBorder="0" applyAlignment="0" applyProtection="0">
      <alignment vertical="center"/>
    </xf>
    <xf numFmtId="176"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177"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3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2" applyNumberFormat="0" applyFill="0" applyAlignment="0" applyProtection="0">
      <alignment vertical="center"/>
    </xf>
    <xf numFmtId="0" fontId="19" fillId="0" borderId="32" applyNumberFormat="0" applyFill="0" applyAlignment="0" applyProtection="0">
      <alignment vertical="center"/>
    </xf>
    <xf numFmtId="0" fontId="20" fillId="0" borderId="33" applyNumberFormat="0" applyFill="0" applyAlignment="0" applyProtection="0">
      <alignment vertical="center"/>
    </xf>
    <xf numFmtId="0" fontId="20" fillId="0" borderId="0" applyNumberFormat="0" applyFill="0" applyBorder="0" applyAlignment="0" applyProtection="0">
      <alignment vertical="center"/>
    </xf>
    <xf numFmtId="0" fontId="21" fillId="5" borderId="34" applyNumberFormat="0" applyAlignment="0" applyProtection="0">
      <alignment vertical="center"/>
    </xf>
    <xf numFmtId="0" fontId="22" fillId="6" borderId="35" applyNumberFormat="0" applyAlignment="0" applyProtection="0">
      <alignment vertical="center"/>
    </xf>
    <xf numFmtId="0" fontId="23" fillId="6" borderId="34" applyNumberFormat="0" applyAlignment="0" applyProtection="0">
      <alignment vertical="center"/>
    </xf>
    <xf numFmtId="0" fontId="24" fillId="7" borderId="36" applyNumberFormat="0" applyAlignment="0" applyProtection="0">
      <alignment vertical="center"/>
    </xf>
    <xf numFmtId="0" fontId="25" fillId="0" borderId="37" applyNumberFormat="0" applyFill="0" applyAlignment="0" applyProtection="0">
      <alignment vertical="center"/>
    </xf>
    <xf numFmtId="0" fontId="26" fillId="0" borderId="38"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76">
    <xf numFmtId="0" fontId="0" fillId="0" borderId="0" xfId="0"/>
    <xf numFmtId="0" fontId="1" fillId="0" borderId="0" xfId="0" applyFont="1"/>
    <xf numFmtId="0" fontId="2" fillId="2" borderId="1" xfId="0" applyFont="1" applyFill="1" applyBorder="1" applyAlignment="1">
      <alignment horizontal="center"/>
    </xf>
    <xf numFmtId="0" fontId="3" fillId="2" borderId="2" xfId="0" applyFont="1" applyFill="1" applyBorder="1" applyAlignment="1">
      <alignment horizontal="center"/>
    </xf>
    <xf numFmtId="0" fontId="2" fillId="2" borderId="2" xfId="0" applyFont="1" applyFill="1" applyBorder="1" applyAlignment="1">
      <alignment horizontal="center"/>
    </xf>
    <xf numFmtId="0" fontId="0" fillId="2" borderId="3" xfId="0" applyFill="1" applyBorder="1" applyAlignment="1">
      <alignment horizontal="center"/>
    </xf>
    <xf numFmtId="0" fontId="1" fillId="2" borderId="4" xfId="0" applyFont="1" applyFill="1" applyBorder="1" applyAlignment="1">
      <alignment horizontal="center"/>
    </xf>
    <xf numFmtId="0" fontId="0" fillId="2" borderId="4" xfId="0" applyFill="1" applyBorder="1" applyAlignment="1">
      <alignment horizontal="center"/>
    </xf>
    <xf numFmtId="0" fontId="0" fillId="2" borderId="5" xfId="0" applyFill="1" applyBorder="1"/>
    <xf numFmtId="0" fontId="0" fillId="2" borderId="6" xfId="0" applyFill="1" applyBorder="1"/>
    <xf numFmtId="0" fontId="1" fillId="2" borderId="4" xfId="0" applyFont="1" applyFill="1" applyBorder="1"/>
    <xf numFmtId="0" fontId="0" fillId="2" borderId="4" xfId="0" applyFill="1" applyBorder="1"/>
    <xf numFmtId="0" fontId="0" fillId="2" borderId="7" xfId="0" applyFill="1" applyBorder="1"/>
    <xf numFmtId="0" fontId="0" fillId="2" borderId="8" xfId="0" applyFill="1" applyBorder="1"/>
    <xf numFmtId="0" fontId="1" fillId="2" borderId="4" xfId="0" applyFont="1" applyFill="1" applyBorder="1"/>
    <xf numFmtId="0" fontId="0" fillId="2" borderId="9" xfId="0" applyFill="1" applyBorder="1"/>
    <xf numFmtId="0" fontId="0" fillId="2" borderId="10" xfId="0" applyFill="1" applyBorder="1"/>
    <xf numFmtId="0" fontId="0" fillId="2" borderId="11" xfId="0" applyFill="1" applyBorder="1"/>
    <xf numFmtId="0" fontId="0" fillId="2" borderId="0" xfId="0" applyFill="1"/>
    <xf numFmtId="0" fontId="1" fillId="2" borderId="12" xfId="0" applyFont="1" applyFill="1" applyBorder="1"/>
    <xf numFmtId="0" fontId="0" fillId="2" borderId="13" xfId="0" applyFill="1" applyBorder="1"/>
    <xf numFmtId="178" fontId="1" fillId="2" borderId="12" xfId="0" applyNumberFormat="1" applyFont="1" applyFill="1" applyBorder="1"/>
    <xf numFmtId="178" fontId="0" fillId="2" borderId="12" xfId="0" applyNumberFormat="1" applyFill="1" applyBorder="1"/>
    <xf numFmtId="0" fontId="0" fillId="2" borderId="14" xfId="0" applyFill="1" applyBorder="1"/>
    <xf numFmtId="178" fontId="1" fillId="2" borderId="15" xfId="0" applyNumberFormat="1" applyFont="1" applyFill="1" applyBorder="1"/>
    <xf numFmtId="178" fontId="0" fillId="2" borderId="15" xfId="0" applyNumberFormat="1" applyFill="1" applyBorder="1"/>
    <xf numFmtId="0" fontId="0" fillId="2" borderId="16" xfId="0" applyFill="1" applyBorder="1"/>
    <xf numFmtId="0" fontId="2" fillId="2" borderId="17" xfId="0" applyFont="1" applyFill="1" applyBorder="1" applyAlignment="1">
      <alignment horizontal="center"/>
    </xf>
    <xf numFmtId="0" fontId="3" fillId="2" borderId="18" xfId="0" applyFont="1" applyFill="1" applyBorder="1" applyAlignment="1">
      <alignment horizontal="center"/>
    </xf>
    <xf numFmtId="0" fontId="2" fillId="2" borderId="18" xfId="0" applyFont="1" applyFill="1" applyBorder="1" applyAlignment="1">
      <alignment horizontal="center"/>
    </xf>
    <xf numFmtId="0" fontId="0" fillId="0" borderId="3" xfId="0" applyBorder="1"/>
    <xf numFmtId="0" fontId="0" fillId="2" borderId="19" xfId="0" applyFill="1" applyBorder="1" applyAlignment="1">
      <alignment horizontal="center"/>
    </xf>
    <xf numFmtId="0" fontId="1" fillId="0" borderId="4" xfId="0" applyFont="1" applyBorder="1"/>
    <xf numFmtId="0" fontId="0" fillId="2" borderId="3" xfId="0" applyFill="1" applyBorder="1"/>
    <xf numFmtId="0" fontId="4" fillId="0" borderId="0" xfId="0" applyFont="1" applyAlignment="1">
      <alignment horizontal="left" vertical="center" wrapText="1"/>
    </xf>
    <xf numFmtId="0" fontId="0" fillId="0" borderId="20" xfId="0" applyBorder="1"/>
    <xf numFmtId="0" fontId="1" fillId="0" borderId="21" xfId="0" applyFont="1" applyBorder="1"/>
    <xf numFmtId="0" fontId="0" fillId="0" borderId="4" xfId="0" applyBorder="1" applyAlignment="1">
      <alignment horizontal="center"/>
    </xf>
    <xf numFmtId="0" fontId="0" fillId="0" borderId="6" xfId="0" applyBorder="1"/>
    <xf numFmtId="0" fontId="0" fillId="0" borderId="4" xfId="0" applyBorder="1"/>
    <xf numFmtId="0" fontId="1" fillId="0" borderId="0" xfId="0" applyFont="1"/>
    <xf numFmtId="0" fontId="2" fillId="2" borderId="22" xfId="0" applyFont="1" applyFill="1" applyBorder="1" applyAlignment="1">
      <alignment horizontal="center"/>
    </xf>
    <xf numFmtId="0" fontId="0" fillId="2" borderId="23" xfId="0" applyFill="1" applyBorder="1"/>
    <xf numFmtId="0" fontId="0" fillId="2" borderId="24" xfId="0" applyFill="1" applyBorder="1"/>
    <xf numFmtId="0" fontId="0" fillId="2" borderId="25" xfId="0" applyFill="1" applyBorder="1"/>
    <xf numFmtId="0" fontId="0" fillId="2" borderId="26" xfId="0" applyFill="1" applyBorder="1"/>
    <xf numFmtId="0" fontId="0" fillId="2" borderId="27" xfId="0" applyFill="1" applyBorder="1"/>
    <xf numFmtId="0" fontId="2" fillId="2" borderId="28" xfId="0" applyFont="1" applyFill="1" applyBorder="1" applyAlignment="1">
      <alignment horizontal="center"/>
    </xf>
    <xf numFmtId="0" fontId="0" fillId="2" borderId="11" xfId="0" applyFill="1" applyBorder="1" applyAlignment="1">
      <alignment horizontal="center"/>
    </xf>
    <xf numFmtId="9" fontId="0" fillId="0" borderId="25" xfId="0" applyNumberFormat="1" applyBorder="1"/>
    <xf numFmtId="0" fontId="0" fillId="0" borderId="24" xfId="0" applyBorder="1" applyAlignment="1">
      <alignment horizontal="center"/>
    </xf>
    <xf numFmtId="0" fontId="0" fillId="0" borderId="24" xfId="0" applyBorder="1"/>
    <xf numFmtId="0" fontId="4" fillId="0" borderId="16" xfId="0" applyFont="1" applyBorder="1" applyAlignment="1">
      <alignment horizontal="left" vertical="center" wrapText="1"/>
    </xf>
    <xf numFmtId="0" fontId="0" fillId="0" borderId="16" xfId="0" applyBorder="1"/>
    <xf numFmtId="0" fontId="0" fillId="0" borderId="2" xfId="0" applyBorder="1"/>
    <xf numFmtId="9" fontId="0" fillId="0" borderId="0" xfId="0" applyNumberFormat="1"/>
    <xf numFmtId="0" fontId="5" fillId="0" borderId="0" xfId="0" applyFont="1"/>
    <xf numFmtId="1" fontId="1" fillId="0" borderId="0" xfId="0" applyNumberFormat="1" applyFont="1"/>
    <xf numFmtId="0" fontId="1" fillId="0" borderId="0" xfId="0" applyFont="1" applyAlignment="1">
      <alignment horizontal="left" wrapText="1"/>
    </xf>
    <xf numFmtId="0" fontId="1" fillId="0" borderId="0" xfId="0" applyFont="1" applyAlignment="1">
      <alignment wrapText="1"/>
    </xf>
    <xf numFmtId="1" fontId="1" fillId="0" borderId="0" xfId="0" applyNumberFormat="1" applyFont="1" applyAlignment="1">
      <alignment horizontal="center"/>
    </xf>
    <xf numFmtId="1" fontId="6" fillId="3" borderId="29" xfId="0" applyNumberFormat="1" applyFont="1" applyFill="1" applyBorder="1" applyAlignment="1">
      <alignment horizontal="center" vertical="center" wrapText="1"/>
    </xf>
    <xf numFmtId="0" fontId="6" fillId="3" borderId="29" xfId="0" applyFont="1" applyFill="1" applyBorder="1" applyAlignment="1">
      <alignment horizontal="center" vertical="center" wrapText="1"/>
    </xf>
    <xf numFmtId="1" fontId="7" fillId="0" borderId="0" xfId="0" applyNumberFormat="1"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9" fillId="0" borderId="0" xfId="0" applyFont="1" applyAlignment="1">
      <alignment horizontal="center" vertical="center" wrapText="1"/>
    </xf>
    <xf numFmtId="179" fontId="9" fillId="0" borderId="0" xfId="0" applyNumberFormat="1" applyFont="1" applyAlignment="1">
      <alignment horizontal="center" vertical="center" wrapText="1"/>
    </xf>
    <xf numFmtId="1" fontId="10" fillId="0" borderId="0" xfId="0" applyNumberFormat="1" applyFont="1" applyAlignment="1">
      <alignment horizontal="center" vertical="center" wrapText="1"/>
    </xf>
    <xf numFmtId="0" fontId="4"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179" fontId="10" fillId="0" borderId="0" xfId="0" applyNumberFormat="1" applyFont="1" applyAlignment="1">
      <alignment horizontal="center" vertical="center" wrapText="1"/>
    </xf>
    <xf numFmtId="0" fontId="9" fillId="0" borderId="0" xfId="0" applyFont="1" applyAlignment="1">
      <alignment horizontal="left" vertical="center" wrapText="1"/>
    </xf>
    <xf numFmtId="0" fontId="11" fillId="0" borderId="30" xfId="0" applyFont="1" applyBorder="1"/>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2">
    <dxf>
      <font>
        <name val="Calibri"/>
        <scheme val="none"/>
        <family val="2"/>
        <b val="0"/>
        <i val="0"/>
        <strike val="0"/>
        <u val="none"/>
        <sz val="10"/>
        <color auto="1"/>
      </font>
      <numFmt numFmtId="1" formatCode="0"/>
      <alignment horizontal="center" vertical="center" wrapText="1"/>
    </dxf>
    <dxf>
      <font>
        <name val="Calibri"/>
        <scheme val="none"/>
        <family val="2"/>
        <b val="0"/>
        <i val="0"/>
        <strike val="0"/>
        <u val="none"/>
        <sz val="10"/>
        <color auto="1"/>
      </font>
      <alignment vertical="center" wrapText="1"/>
    </dxf>
    <dxf>
      <font>
        <name val="Calibri"/>
        <scheme val="none"/>
        <family val="2"/>
        <b val="0"/>
        <i val="0"/>
        <strike val="0"/>
        <u val="none"/>
        <sz val="10"/>
        <color auto="1"/>
      </font>
      <alignment horizontal="left" vertical="center" wrapText="1"/>
    </dxf>
    <dxf>
      <font>
        <name val="Calibri"/>
        <scheme val="none"/>
        <family val="2"/>
        <b val="0"/>
        <i val="0"/>
        <strike val="0"/>
        <u val="none"/>
        <sz val="10"/>
        <color auto="1"/>
      </font>
      <alignment horizontal="left"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numFmt numFmtId="179" formatCode="[$-409]mmm\-yy;@"/>
      <alignment horizontal="center"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alignment horizontal="center" vertical="center" wrapText="1"/>
    </dxf>
    <dxf>
      <font>
        <name val="Calibri"/>
        <scheme val="none"/>
        <family val="2"/>
        <b val="0"/>
        <i val="0"/>
        <strike val="0"/>
        <u val="none"/>
        <sz val="10"/>
        <color auto="1"/>
      </font>
      <alignment horizontal="left" vertical="center" wrapText="1"/>
    </dxf>
  </dxfs>
  <tableStyles count="1" defaultTableStyle="TableStyleMedium2" defaultPivotStyle="PivotStyleLight16">
    <tableStyle name="Invisible" pivot="0" table="0" count="0" xr9:uid="{62EEF837-BB73-4736-8966-72F3F16256FC}"/>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3.xml"/><Relationship Id="rId8" Type="http://schemas.openxmlformats.org/officeDocument/2006/relationships/externalLink" Target="externalLinks/externalLink2.xml"/><Relationship Id="rId7" Type="http://schemas.openxmlformats.org/officeDocument/2006/relationships/externalLink" Target="externalLinks/externalLink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Capacity and Operational Levels</a:t>
            </a:r>
            <a:endParaRPr lang="en-US"/>
          </a:p>
        </c:rich>
      </c:tx>
      <c:layout/>
      <c:overlay val="0"/>
      <c:spPr>
        <a:noFill/>
        <a:ln>
          <a:noFill/>
        </a:ln>
        <a:effectLst/>
      </c:spPr>
    </c:title>
    <c:autoTitleDeleted val="0"/>
    <c:plotArea>
      <c:layout/>
      <c:barChart>
        <c:barDir val="col"/>
        <c:grouping val="clustered"/>
        <c:varyColors val="0"/>
        <c:ser>
          <c:idx val="0"/>
          <c:order val="0"/>
          <c:tx>
            <c:strRef>
              <c:f>"Capacity"</c:f>
              <c:strCache>
                <c:ptCount val="1"/>
                <c:pt idx="0">
                  <c:v>Capacity</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delete val="1"/>
          </c:dLbls>
          <c:cat>
            <c:numRef>
              <c:extLst>
                <c:ext xmlns:c15="http://schemas.microsoft.com/office/drawing/2012/chart" uri="{02D57815-91ED-43cb-92C2-25804820EDAC}">
                  <c15:fullRef>
                    <c15:sqref>[3]Analysis!$A$118:$B$142</c15:sqref>
                  </c15:fullRef>
                </c:ext>
              </c:extLst>
              <c:f>([3]Analysis!$A$118:$B$122,[3]Analysis!$A$125:$B$142)</c:f>
              <c:numCache>
                <c:ptCount val="0"/>
              </c:numCache>
            </c:numRef>
          </c:cat>
          <c:val>
            <c:numRef>
              <c:extLst>
                <c:ext xmlns:c15="http://schemas.microsoft.com/office/drawing/2012/chart" uri="{02D57815-91ED-43cb-92C2-25804820EDAC}">
                  <c15:fullRef>
                    <c15:sqref>[3]Analysis!$K$89:$K$113</c15:sqref>
                  </c15:fullRef>
                </c:ext>
              </c:extLst>
              <c:f>([3]Analysis!$K$89:$K$93,[3]Analysis!$K$96:$K$113)</c:f>
              <c:numCache>
                <c:formatCode>0%</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ser>
          <c:idx val="1"/>
          <c:order val="1"/>
          <c:tx>
            <c:strRef>
              <c:f>"Operational"</c:f>
              <c:strCache>
                <c:ptCount val="1"/>
                <c:pt idx="0">
                  <c:v>Operational</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delete val="1"/>
          </c:dLbls>
          <c:cat>
            <c:numRef>
              <c:extLst>
                <c:ext xmlns:c15="http://schemas.microsoft.com/office/drawing/2012/chart" uri="{02D57815-91ED-43cb-92C2-25804820EDAC}">
                  <c15:fullRef>
                    <c15:sqref>[3]Analysis!$A$118:$B$142</c15:sqref>
                  </c15:fullRef>
                </c:ext>
              </c:extLst>
              <c:f>([3]Analysis!$A$118:$B$122,[3]Analysis!$A$125:$B$142)</c:f>
              <c:numCache>
                <c:ptCount val="0"/>
              </c:numCache>
            </c:numRef>
          </c:cat>
          <c:val>
            <c:numRef>
              <c:extLst>
                <c:ext xmlns:c15="http://schemas.microsoft.com/office/drawing/2012/chart" uri="{02D57815-91ED-43cb-92C2-25804820EDAC}">
                  <c15:fullRef>
                    <c15:sqref>[3]Analysis!$K$118:$K$142</c15:sqref>
                  </c15:fullRef>
                </c:ext>
              </c:extLst>
              <c:f>([3]Analysis!$K$118:$K$122,[3]Analysis!$K$125:$K$142)</c:f>
              <c:numCache>
                <c:formatCode>0%</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dLbls>
          <c:showLegendKey val="0"/>
          <c:showVal val="0"/>
          <c:showCatName val="0"/>
          <c:showSerName val="0"/>
          <c:showPercent val="0"/>
          <c:showBubbleSize val="0"/>
        </c:dLbls>
        <c:gapWidth val="100"/>
        <c:overlap val="-24"/>
        <c:axId val="459016912"/>
        <c:axId val="459018160"/>
      </c:barChart>
      <c:catAx>
        <c:axId val="459016912"/>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lang="en-US" sz="900" b="0" i="0" u="none" strike="noStrike" kern="1200" baseline="0">
                <a:solidFill>
                  <a:schemeClr val="lt1">
                    <a:lumMod val="85000"/>
                  </a:schemeClr>
                </a:solidFill>
                <a:latin typeface="+mn-lt"/>
                <a:ea typeface="+mn-ea"/>
                <a:cs typeface="+mn-cs"/>
              </a:defRPr>
            </a:pPr>
          </a:p>
        </c:txPr>
        <c:crossAx val="459018160"/>
        <c:crosses val="autoZero"/>
        <c:auto val="1"/>
        <c:lblAlgn val="ctr"/>
        <c:lblOffset val="100"/>
        <c:noMultiLvlLbl val="0"/>
      </c:catAx>
      <c:valAx>
        <c:axId val="459018160"/>
        <c:scaling>
          <c:orientation val="minMax"/>
          <c:max val="1"/>
        </c:scaling>
        <c:delete val="0"/>
        <c:axPos val="l"/>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en-US" sz="900" b="0" i="0" u="none" strike="noStrike" kern="1200" baseline="0">
                <a:solidFill>
                  <a:schemeClr val="lt1">
                    <a:lumMod val="85000"/>
                  </a:schemeClr>
                </a:solidFill>
                <a:latin typeface="+mn-lt"/>
                <a:ea typeface="+mn-ea"/>
                <a:cs typeface="+mn-cs"/>
              </a:defRPr>
            </a:pPr>
          </a:p>
        </c:txPr>
        <c:crossAx val="459016912"/>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lang="en-US" sz="900" b="0" i="0" u="none" strike="noStrike" kern="1200" baseline="0">
              <a:solidFill>
                <a:schemeClr val="lt1">
                  <a:lumMod val="85000"/>
                </a:schemeClr>
              </a:solidFill>
              <a:latin typeface="+mn-lt"/>
              <a:ea typeface="+mn-ea"/>
              <a:cs typeface="+mn-cs"/>
            </a:defRPr>
          </a:pPr>
        </a:p>
      </c:txPr>
    </c:legend>
    <c:plotVisOnly val="1"/>
    <c:dispBlanksAs val="gap"/>
    <c:showDLblsOverMax val="0"/>
    <c:extLst>
      <c:ext uri="{0b15fc19-7d7d-44ad-8c2d-2c3a37ce22c3}">
        <chartProps xmlns="https://web.wps.cn/et/2018/main" chartId="{3bc5f22c-0f88-4683-870c-e62810ea01e3}"/>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lang="en-US"/>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Analysis!$B$79</c:f>
              <c:strCache>
                <c:ptCount val="1"/>
                <c:pt idx="0">
                  <c:v>Capacity</c:v>
                </c:pt>
              </c:strCache>
            </c:strRef>
          </c:tx>
          <c:spPr>
            <a:ln w="28575" cap="rnd">
              <a:solidFill>
                <a:schemeClr val="accent1"/>
              </a:solidFill>
            </a:ln>
            <a:effectLst>
              <a:glow rad="76200">
                <a:schemeClr val="accent1">
                  <a:satMod val="175000"/>
                  <a:alpha val="34000"/>
                </a:schemeClr>
              </a:glow>
            </a:effectLst>
          </c:spPr>
          <c:marker>
            <c:symbol val="none"/>
          </c:marker>
          <c:dLbls>
            <c:delete val="1"/>
          </c:dLbls>
          <c:cat>
            <c:strRef>
              <c:f>Analysis!$A$80:$A$83</c:f>
              <c:strCache>
                <c:ptCount val="4"/>
                <c:pt idx="0">
                  <c:v>Frameworks &amp; Coordination</c:v>
                </c:pt>
                <c:pt idx="1">
                  <c:v>Rapid Response Teams</c:v>
                </c:pt>
                <c:pt idx="2">
                  <c:v>Emergency Medical Teams</c:v>
                </c:pt>
                <c:pt idx="3">
                  <c:v>Emergency Operations Center/ Incident Management System</c:v>
                </c:pt>
              </c:strCache>
            </c:strRef>
          </c:cat>
          <c:val>
            <c:numRef>
              <c:f>Analysis!$B$80:$B$83</c:f>
              <c:numCache>
                <c:formatCode>0.0%</c:formatCode>
                <c:ptCount val="4"/>
                <c:pt idx="0">
                  <c:v>0</c:v>
                </c:pt>
                <c:pt idx="1">
                  <c:v>0</c:v>
                </c:pt>
                <c:pt idx="2">
                  <c:v>0</c:v>
                </c:pt>
                <c:pt idx="3">
                  <c:v>0</c:v>
                </c:pt>
              </c:numCache>
            </c:numRef>
          </c:val>
        </c:ser>
        <c:ser>
          <c:idx val="1"/>
          <c:order val="1"/>
          <c:tx>
            <c:strRef>
              <c:f>Analysis!$C$79</c:f>
              <c:strCache>
                <c:ptCount val="1"/>
                <c:pt idx="0">
                  <c:v>Operational</c:v>
                </c:pt>
              </c:strCache>
            </c:strRef>
          </c:tx>
          <c:spPr>
            <a:ln w="28575" cap="rnd">
              <a:solidFill>
                <a:schemeClr val="accent2"/>
              </a:solidFill>
            </a:ln>
            <a:effectLst>
              <a:glow rad="76200">
                <a:schemeClr val="accent2">
                  <a:satMod val="175000"/>
                  <a:alpha val="34000"/>
                </a:schemeClr>
              </a:glow>
            </a:effectLst>
          </c:spPr>
          <c:marker>
            <c:symbol val="none"/>
          </c:marker>
          <c:dLbls>
            <c:delete val="1"/>
          </c:dLbls>
          <c:cat>
            <c:strRef>
              <c:f>Analysis!$A$80:$A$83</c:f>
              <c:strCache>
                <c:ptCount val="4"/>
                <c:pt idx="0">
                  <c:v>Frameworks &amp; Coordination</c:v>
                </c:pt>
                <c:pt idx="1">
                  <c:v>Rapid Response Teams</c:v>
                </c:pt>
                <c:pt idx="2">
                  <c:v>Emergency Medical Teams</c:v>
                </c:pt>
                <c:pt idx="3">
                  <c:v>Emergency Operations Center/ Incident Management System</c:v>
                </c:pt>
              </c:strCache>
            </c:strRef>
          </c:cat>
          <c:val>
            <c:numRef>
              <c:f>Analysis!$C$80:$C$83</c:f>
              <c:numCache>
                <c:formatCode>0.0%</c:formatCode>
                <c:ptCount val="4"/>
                <c:pt idx="0">
                  <c:v>0</c:v>
                </c:pt>
                <c:pt idx="1">
                  <c:v>0</c:v>
                </c:pt>
                <c:pt idx="2">
                  <c:v>0</c:v>
                </c:pt>
                <c:pt idx="3">
                  <c:v>0</c:v>
                </c:pt>
              </c:numCache>
            </c:numRef>
          </c:val>
        </c:ser>
        <c:dLbls>
          <c:showLegendKey val="0"/>
          <c:showVal val="0"/>
          <c:showCatName val="0"/>
          <c:showSerName val="0"/>
          <c:showPercent val="0"/>
          <c:showBubbleSize val="0"/>
        </c:dLbls>
        <c:axId val="2045228240"/>
        <c:axId val="2045224912"/>
      </c:radarChart>
      <c:catAx>
        <c:axId val="2045228240"/>
        <c:scaling>
          <c:orientation val="minMax"/>
        </c:scaling>
        <c:delete val="0"/>
        <c:axPos val="b"/>
        <c:majorGridlines>
          <c:spPr>
            <a:ln w="9525" cap="flat" cmpd="sng" algn="ctr">
              <a:solidFill>
                <a:schemeClr val="lt1">
                  <a:alpha val="2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n-US" sz="900" b="0" i="0" u="none" strike="noStrike" kern="1200" baseline="0">
                <a:solidFill>
                  <a:schemeClr val="lt1">
                    <a:lumMod val="75000"/>
                  </a:schemeClr>
                </a:solidFill>
                <a:latin typeface="+mn-lt"/>
                <a:ea typeface="+mn-ea"/>
                <a:cs typeface="+mn-cs"/>
              </a:defRPr>
            </a:pPr>
          </a:p>
        </c:txPr>
        <c:crossAx val="2045224912"/>
        <c:crosses val="autoZero"/>
        <c:auto val="1"/>
        <c:lblAlgn val="ctr"/>
        <c:lblOffset val="100"/>
        <c:noMultiLvlLbl val="0"/>
      </c:catAx>
      <c:valAx>
        <c:axId val="2045224912"/>
        <c:scaling>
          <c:orientation val="minMax"/>
        </c:scaling>
        <c:delete val="0"/>
        <c:axPos val="l"/>
        <c:majorGridlines>
          <c:spPr>
            <a:ln w="9525" cap="flat" cmpd="sng" algn="ctr">
              <a:solidFill>
                <a:schemeClr val="lt1">
                  <a:alpha val="20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lang="en-US" sz="900" b="0" i="0" u="none" strike="noStrike" kern="1200" baseline="0">
                <a:solidFill>
                  <a:schemeClr val="lt1">
                    <a:lumMod val="75000"/>
                  </a:schemeClr>
                </a:solidFill>
                <a:latin typeface="+mn-lt"/>
                <a:ea typeface="+mn-ea"/>
                <a:cs typeface="+mn-cs"/>
              </a:defRPr>
            </a:pPr>
          </a:p>
        </c:txPr>
        <c:crossAx val="204522824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lang="en-US" sz="900" b="0" i="0" u="none" strike="noStrike" kern="1200" baseline="0">
              <a:solidFill>
                <a:schemeClr val="lt1">
                  <a:lumMod val="75000"/>
                </a:schemeClr>
              </a:solidFill>
              <a:latin typeface="+mn-lt"/>
              <a:ea typeface="+mn-ea"/>
              <a:cs typeface="+mn-cs"/>
            </a:defRPr>
          </a:pPr>
        </a:p>
      </c:txPr>
    </c:legend>
    <c:plotVisOnly val="1"/>
    <c:dispBlanksAs val="gap"/>
    <c:showDLblsOverMax val="0"/>
    <c:extLst>
      <c:ext uri="{0b15fc19-7d7d-44ad-8c2d-2c3a37ce22c3}">
        <chartProps xmlns="https://web.wps.cn/et/2018/main" chartId="{2873fcff-41f2-403a-bb2c-04d4e12c6d84}"/>
      </c:ext>
    </c:extLst>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lang="en-US"/>
      </a:pP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20">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75000"/>
      </a:schemeClr>
    </cs:fontRef>
    <cs:spPr>
      <a:solidFill>
        <a:schemeClr val="dk1">
          <a:lumMod val="75000"/>
          <a:lumOff val="25000"/>
        </a:schemeClr>
      </a:solidFill>
      <a:ln>
        <a:solidFill>
          <a:schemeClr val="lt1">
            <a:lumMod val="75000"/>
          </a:schemeClr>
        </a:solidFill>
      </a:ln>
      <a:effectLst>
        <a:glow rad="63500">
          <a:schemeClr val="lt1">
            <a:lumMod val="75000"/>
            <a:alpha val="15000"/>
          </a:schemeClr>
        </a:glow>
      </a:effectLst>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
  <cs:dataPoint3D>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3D>
  <cs:dataPointLine>
    <cs:lnRef idx="0">
      <cs:styleClr val="auto"/>
    </cs:lnRef>
    <cs:fillRef idx="0">
      <cs:styleClr val="auto"/>
    </cs:fillRef>
    <cs:effectRef idx="0">
      <cs:styleClr val="auto"/>
    </cs:effectRef>
    <cs:fontRef idx="minor">
      <a:schemeClr val="dk1"/>
    </cs:fontRef>
    <cs:spPr>
      <a:ln w="28575" cap="rnd">
        <a:solidFill>
          <a:schemeClr val="phClr"/>
        </a:solidFill>
      </a:ln>
      <a:effectLst>
        <a:glow rad="76200">
          <a:schemeClr val="phClr">
            <a:satMod val="175000"/>
            <a:alpha val="3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lt1">
            <a:alpha val="20000"/>
          </a:schemeClr>
        </a:solidFill>
        <a:round/>
      </a:ln>
    </cs:spPr>
  </cs:gridlineMajor>
  <cs:gridlineMinor>
    <cs:lnRef idx="0"/>
    <cs:fillRef idx="0"/>
    <cs:effectRef idx="0"/>
    <cs:fontRef idx="minor">
      <a:schemeClr val="dk1"/>
    </cs:fontRef>
    <cs:spPr>
      <a:ln w="9525" cap="flat" cmpd="sng" algn="ctr">
        <a:solidFill>
          <a:schemeClr val="lt1">
            <a:alpha val="20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0" kern="1200" cap="none" spc="50"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638175</xdr:colOff>
      <xdr:row>0</xdr:row>
      <xdr:rowOff>0</xdr:rowOff>
    </xdr:from>
    <xdr:to>
      <xdr:col>3</xdr:col>
      <xdr:colOff>2228850</xdr:colOff>
      <xdr:row>1</xdr:row>
      <xdr:rowOff>17780</xdr:rowOff>
    </xdr:to>
    <xdr:pic>
      <xdr:nvPicPr>
        <xdr:cNvPr id="2" name="Picture 1" descr="Logo, company name&#10;&#10;Description automatically generated"/>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3248025" y="0"/>
          <a:ext cx="1590675" cy="894080"/>
        </a:xfrm>
        <a:prstGeom prst="rect">
          <a:avLst/>
        </a:prstGeom>
      </xdr:spPr>
    </xdr:pic>
    <xdr:clientData/>
  </xdr:twoCellAnchor>
  <xdr:twoCellAnchor editAs="oneCell">
    <xdr:from>
      <xdr:col>3</xdr:col>
      <xdr:colOff>2476500</xdr:colOff>
      <xdr:row>0</xdr:row>
      <xdr:rowOff>116205</xdr:rowOff>
    </xdr:from>
    <xdr:to>
      <xdr:col>6</xdr:col>
      <xdr:colOff>319405</xdr:colOff>
      <xdr:row>0</xdr:row>
      <xdr:rowOff>759460</xdr:rowOff>
    </xdr:to>
    <xdr:pic>
      <xdr:nvPicPr>
        <xdr:cNvPr id="3" name="Picture 2"/>
        <xdr:cNvPicPr>
          <a:picLocks noChangeAspect="1"/>
        </xdr:cNvPicPr>
      </xdr:nvPicPr>
      <xdr:blipFill>
        <a:blip r:embed="rId2" cstate="print">
          <a:extLst>
            <a:ext uri="{28A0092B-C50C-407E-A947-70E740481C1C}">
              <a14:useLocalDpi xmlns:a14="http://schemas.microsoft.com/office/drawing/2010/main" val="0"/>
            </a:ext>
          </a:extLst>
        </a:blip>
        <a:stretch>
          <a:fillRect/>
        </a:stretch>
      </xdr:blipFill>
      <xdr:spPr>
        <a:xfrm>
          <a:off x="5086350" y="116205"/>
          <a:ext cx="2186305" cy="643255"/>
        </a:xfrm>
        <a:prstGeom prst="rect">
          <a:avLst/>
        </a:prstGeom>
      </xdr:spPr>
    </xdr:pic>
    <xdr:clientData/>
  </xdr:twoCellAnchor>
  <xdr:twoCellAnchor editAs="oneCell">
    <xdr:from>
      <xdr:col>6</xdr:col>
      <xdr:colOff>295275</xdr:colOff>
      <xdr:row>0</xdr:row>
      <xdr:rowOff>73025</xdr:rowOff>
    </xdr:from>
    <xdr:to>
      <xdr:col>7</xdr:col>
      <xdr:colOff>809625</xdr:colOff>
      <xdr:row>0</xdr:row>
      <xdr:rowOff>761365</xdr:rowOff>
    </xdr:to>
    <xdr:pic>
      <xdr:nvPicPr>
        <xdr:cNvPr id="4" name="Picture 3"/>
        <xdr:cNvPicPr>
          <a:picLocks noChangeAspect="1"/>
        </xdr:cNvPicPr>
      </xdr:nvPicPr>
      <xdr:blipFill>
        <a:blip r:embed="rId3" cstate="print">
          <a:extLst>
            <a:ext uri="{28A0092B-C50C-407E-A947-70E740481C1C}">
              <a14:useLocalDpi xmlns:a14="http://schemas.microsoft.com/office/drawing/2010/main" val="0"/>
            </a:ext>
          </a:extLst>
        </a:blip>
        <a:srcRect/>
        <a:stretch>
          <a:fillRect/>
        </a:stretch>
      </xdr:blipFill>
      <xdr:spPr>
        <a:xfrm>
          <a:off x="7248525" y="73025"/>
          <a:ext cx="1609725" cy="688340"/>
        </a:xfrm>
        <a:prstGeom prst="rect">
          <a:avLst/>
        </a:prstGeom>
        <a:noFill/>
        <a:ln>
          <a:noFill/>
        </a:ln>
      </xdr:spPr>
    </xdr:pic>
    <xdr:clientData/>
  </xdr:twoCellAnchor>
  <xdr:twoCellAnchor editAs="oneCell">
    <xdr:from>
      <xdr:col>7</xdr:col>
      <xdr:colOff>965835</xdr:colOff>
      <xdr:row>0</xdr:row>
      <xdr:rowOff>140970</xdr:rowOff>
    </xdr:from>
    <xdr:to>
      <xdr:col>8</xdr:col>
      <xdr:colOff>832485</xdr:colOff>
      <xdr:row>0</xdr:row>
      <xdr:rowOff>680720</xdr:rowOff>
    </xdr:to>
    <xdr:pic>
      <xdr:nvPicPr>
        <xdr:cNvPr id="5" name="Picture 4" descr="A logo with green and blue letters&#10;&#10;Description automatically generated"/>
        <xdr:cNvPicPr>
          <a:picLocks noChangeAspect="1"/>
        </xdr:cNvPicPr>
      </xdr:nvPicPr>
      <xdr:blipFill>
        <a:blip r:embed="rId4" cstate="print">
          <a:extLst>
            <a:ext uri="{28A0092B-C50C-407E-A947-70E740481C1C}">
              <a14:useLocalDpi xmlns:a14="http://schemas.microsoft.com/office/drawing/2010/main" val="0"/>
            </a:ext>
          </a:extLst>
        </a:blip>
        <a:srcRect r="56477"/>
        <a:stretch>
          <a:fillRect/>
        </a:stretch>
      </xdr:blipFill>
      <xdr:spPr>
        <a:xfrm>
          <a:off x="9014460" y="140970"/>
          <a:ext cx="942975" cy="539750"/>
        </a:xfrm>
        <a:prstGeom prst="rect">
          <a:avLst/>
        </a:prstGeom>
        <a:ln>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9523</xdr:colOff>
      <xdr:row>29</xdr:row>
      <xdr:rowOff>4761</xdr:rowOff>
    </xdr:from>
    <xdr:to>
      <xdr:col>10</xdr:col>
      <xdr:colOff>428625</xdr:colOff>
      <xdr:row>57</xdr:row>
      <xdr:rowOff>38100</xdr:rowOff>
    </xdr:to>
    <xdr:graphicFrame>
      <xdr:nvGraphicFramePr>
        <xdr:cNvPr id="6" name="Chart 5"/>
        <xdr:cNvGraphicFramePr/>
      </xdr:nvGraphicFramePr>
      <xdr:xfrm>
        <a:off x="8890" y="5528945"/>
        <a:ext cx="13145135" cy="5367655"/>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40823</xdr:colOff>
      <xdr:row>0</xdr:row>
      <xdr:rowOff>98045</xdr:rowOff>
    </xdr:from>
    <xdr:to>
      <xdr:col>5</xdr:col>
      <xdr:colOff>1774373</xdr:colOff>
      <xdr:row>28</xdr:row>
      <xdr:rowOff>43543</xdr:rowOff>
    </xdr:to>
    <xdr:graphicFrame>
      <xdr:nvGraphicFramePr>
        <xdr:cNvPr id="5" name="Chart 6"/>
        <xdr:cNvGraphicFramePr/>
      </xdr:nvGraphicFramePr>
      <xdr:xfrm>
        <a:off x="40640" y="97790"/>
        <a:ext cx="8858250" cy="527939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ool"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l&#233;"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Analysis" TargetMode="External"/></Relationships>
</file>

<file path=xl/externalLinks/externalLink1.xml><?xml version="1.0" encoding="utf-8"?>
<externalLink xmlns="http://schemas.openxmlformats.org/spreadsheetml/2006/main">
  <externalBook xmlns:r="http://schemas.openxmlformats.org/officeDocument/2006/relationships" r:id="rId1"/>
</externalLink>
</file>

<file path=xl/externalLinks/externalLink2.xml><?xml version="1.0" encoding="utf-8"?>
<externalLink xmlns="http://schemas.openxmlformats.org/spreadsheetml/2006/main">
  <externalBook xmlns:r="http://schemas.openxmlformats.org/officeDocument/2006/relationships" r:id="rId1"/>
</externalLink>
</file>

<file path=xl/externalLinks/externalLink3.xml><?xml version="1.0" encoding="utf-8"?>
<externalLink xmlns="http://schemas.openxmlformats.org/spreadsheetml/2006/main">
  <externalBook xmlns:r="http://schemas.openxmlformats.org/officeDocument/2006/relationships" r:id="rId1">
    <sheetNames>
      <sheetName val="Analysis"/>
    </sheetNames>
    <sheetDataSet>
      <sheetData sheetId="0" refreshError="1"/>
    </sheetDataSet>
  </externalBook>
</externalLink>
</file>

<file path=xl/tables/table1.xml><?xml version="1.0" encoding="utf-8"?>
<table xmlns="http://schemas.openxmlformats.org/spreadsheetml/2006/main" id="1" name="Table1" displayName="Table1" ref="A2:L90" totalsRowShown="0">
  <autoFilter xmlns:etc="http://www.wps.cn/officeDocument/2017/etCustomData" ref="A2:L90"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sortState ref="A2:L90">
    <sortCondition ref="H2:H90"/>
  </sortState>
  <tableColumns count="12">
    <tableColumn id="3" name="# " dataDxfId="0"/>
    <tableColumn id="1" name="Section" dataDxfId="1"/>
    <tableColumn id="2" name="SubSection" dataDxfId="2"/>
    <tableColumn id="4" name="Indicator " dataDxfId="3"/>
    <tableColumn id="21" name="Exists" dataDxfId="4"/>
    <tableColumn id="22" name="Date Completed/ Last Updated" dataDxfId="5"/>
    <tableColumn id="7" name="Capacity " dataDxfId="6"/>
    <tableColumn id="8" name="Operational Status " dataDxfId="7"/>
    <tableColumn id="9" name="Priority " dataDxfId="8"/>
    <tableColumn id="10" name="Lead Agency " dataDxfId="9"/>
    <tableColumn id="11" name="In-Country POC " dataDxfId="10"/>
    <tableColumn id="12" name="Comments" dataDxfId="1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B2" sqref="B2:B4"/>
    </sheetView>
  </sheetViews>
  <sheetFormatPr defaultColWidth="9" defaultRowHeight="15" outlineLevelRow="5" outlineLevelCol="3"/>
  <cols>
    <col min="1" max="1" width="6" customWidth="1"/>
    <col min="2" max="2" width="21" customWidth="1"/>
    <col min="3" max="3" width="27.7142857142857" customWidth="1"/>
    <col min="4" max="4" width="20.7142857142857" customWidth="1"/>
  </cols>
  <sheetData>
    <row r="1" spans="1:4">
      <c r="A1" s="75" t="s">
        <v>0</v>
      </c>
      <c r="B1" s="75" t="s">
        <v>1</v>
      </c>
      <c r="C1" s="75" t="s">
        <v>2</v>
      </c>
      <c r="D1" s="75" t="s">
        <v>3</v>
      </c>
    </row>
    <row r="2" spans="1:4">
      <c r="A2" t="s">
        <v>4</v>
      </c>
      <c r="B2" t="s">
        <v>5</v>
      </c>
      <c r="C2" t="s">
        <v>6</v>
      </c>
      <c r="D2" t="s">
        <v>7</v>
      </c>
    </row>
    <row r="3" spans="1:4">
      <c r="A3" t="s">
        <v>8</v>
      </c>
      <c r="B3" t="s">
        <v>9</v>
      </c>
      <c r="C3" t="s">
        <v>10</v>
      </c>
      <c r="D3" t="s">
        <v>11</v>
      </c>
    </row>
    <row r="4" spans="2:4">
      <c r="B4" t="s">
        <v>12</v>
      </c>
      <c r="C4" t="s">
        <v>13</v>
      </c>
      <c r="D4" t="s">
        <v>14</v>
      </c>
    </row>
    <row r="5" spans="2:4">
      <c r="B5" t="s">
        <v>15</v>
      </c>
      <c r="C5" t="s">
        <v>15</v>
      </c>
      <c r="D5" t="s">
        <v>16</v>
      </c>
    </row>
    <row r="6" spans="2:3">
      <c r="B6" t="s">
        <v>17</v>
      </c>
      <c r="C6" t="s">
        <v>17</v>
      </c>
    </row>
  </sheetData>
  <pageMargins left="0.7" right="0.7" top="0.75" bottom="0.75" header="0.3" footer="0.3"/>
  <pageSetup paperSize="1"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07"/>
  <sheetViews>
    <sheetView topLeftCell="A38" workbookViewId="0">
      <selection activeCell="H9" sqref="H9"/>
    </sheetView>
  </sheetViews>
  <sheetFormatPr defaultColWidth="9.14285714285714" defaultRowHeight="12.75"/>
  <cols>
    <col min="1" max="1" width="4.71428571428571" style="57" customWidth="1"/>
    <col min="2" max="2" width="9.14285714285714" style="40" customWidth="1"/>
    <col min="3" max="3" width="25.2857142857143" style="58" customWidth="1"/>
    <col min="4" max="4" width="41.1428571428571" style="59" customWidth="1"/>
    <col min="5" max="6" width="12" style="40" customWidth="1"/>
    <col min="7" max="7" width="16.4285714285714" style="40" customWidth="1"/>
    <col min="8" max="8" width="16.1428571428571" style="40" customWidth="1"/>
    <col min="9" max="9" width="18.1428571428571" style="40" customWidth="1"/>
    <col min="10" max="10" width="15.7142857142857" style="40" customWidth="1"/>
    <col min="11" max="11" width="15.2857142857143" style="40" customWidth="1"/>
    <col min="12" max="12" width="12.7142857142857" style="40" customWidth="1"/>
    <col min="13" max="13" width="10.1428571428571" style="40" customWidth="1"/>
    <col min="14" max="16384" width="9.14285714285714" style="40"/>
  </cols>
  <sheetData>
    <row r="1" ht="69" customHeight="1" spans="1:12">
      <c r="A1" s="60"/>
      <c r="B1" s="60"/>
      <c r="C1" s="60"/>
      <c r="D1" s="60"/>
      <c r="E1" s="60"/>
      <c r="F1" s="60"/>
      <c r="G1" s="60"/>
      <c r="H1" s="60"/>
      <c r="I1" s="60"/>
      <c r="J1" s="60"/>
      <c r="K1" s="60"/>
      <c r="L1" s="60"/>
    </row>
    <row r="2" ht="51" spans="1:12">
      <c r="A2" s="61" t="s">
        <v>18</v>
      </c>
      <c r="B2" s="62" t="s">
        <v>19</v>
      </c>
      <c r="C2" s="62" t="s">
        <v>20</v>
      </c>
      <c r="D2" s="62" t="s">
        <v>21</v>
      </c>
      <c r="E2" s="62" t="s">
        <v>0</v>
      </c>
      <c r="F2" s="62" t="s">
        <v>22</v>
      </c>
      <c r="G2" s="62" t="s">
        <v>1</v>
      </c>
      <c r="H2" s="62" t="s">
        <v>2</v>
      </c>
      <c r="I2" s="62" t="s">
        <v>3</v>
      </c>
      <c r="J2" s="62" t="s">
        <v>23</v>
      </c>
      <c r="K2" s="62" t="s">
        <v>24</v>
      </c>
      <c r="L2" s="62" t="s">
        <v>25</v>
      </c>
    </row>
    <row r="3" s="56" customFormat="1" ht="38.25" spans="1:12">
      <c r="A3" s="63">
        <v>1</v>
      </c>
      <c r="B3" s="64" t="s">
        <v>26</v>
      </c>
      <c r="C3" s="65" t="s">
        <v>27</v>
      </c>
      <c r="D3" s="66" t="s">
        <v>28</v>
      </c>
      <c r="E3" s="67"/>
      <c r="F3" s="68"/>
      <c r="G3" s="67"/>
      <c r="H3" s="67"/>
      <c r="I3" s="67"/>
      <c r="J3" s="67"/>
      <c r="K3" s="74"/>
      <c r="L3" s="74"/>
    </row>
    <row r="4" s="56" customFormat="1" ht="38.25" spans="1:12">
      <c r="A4" s="63">
        <v>2</v>
      </c>
      <c r="B4" s="64" t="s">
        <v>26</v>
      </c>
      <c r="C4" s="65" t="s">
        <v>27</v>
      </c>
      <c r="D4" s="66" t="s">
        <v>29</v>
      </c>
      <c r="E4" s="67"/>
      <c r="F4" s="68"/>
      <c r="G4" s="67"/>
      <c r="H4" s="67"/>
      <c r="I4" s="67"/>
      <c r="J4" s="67"/>
      <c r="K4" s="74"/>
      <c r="L4" s="74"/>
    </row>
    <row r="5" s="56" customFormat="1" ht="38.25" spans="1:12">
      <c r="A5" s="63">
        <v>3</v>
      </c>
      <c r="B5" s="64" t="s">
        <v>26</v>
      </c>
      <c r="C5" s="65" t="s">
        <v>27</v>
      </c>
      <c r="D5" s="66" t="s">
        <v>30</v>
      </c>
      <c r="E5" s="67"/>
      <c r="F5" s="68"/>
      <c r="G5" s="67"/>
      <c r="H5" s="67"/>
      <c r="I5" s="67"/>
      <c r="J5" s="67"/>
      <c r="K5" s="74"/>
      <c r="L5" s="74"/>
    </row>
    <row r="6" s="56" customFormat="1" ht="38.25" spans="1:12">
      <c r="A6" s="63">
        <v>4</v>
      </c>
      <c r="B6" s="64" t="s">
        <v>26</v>
      </c>
      <c r="C6" s="65" t="s">
        <v>27</v>
      </c>
      <c r="D6" s="66" t="s">
        <v>31</v>
      </c>
      <c r="E6" s="67"/>
      <c r="F6" s="68"/>
      <c r="G6" s="67"/>
      <c r="H6" s="67"/>
      <c r="I6" s="67"/>
      <c r="J6" s="67"/>
      <c r="K6" s="67"/>
      <c r="L6" s="74"/>
    </row>
    <row r="7" s="56" customFormat="1" ht="51" spans="1:12">
      <c r="A7" s="63">
        <v>5</v>
      </c>
      <c r="B7" s="64" t="s">
        <v>26</v>
      </c>
      <c r="C7" s="65" t="s">
        <v>27</v>
      </c>
      <c r="D7" s="66" t="s">
        <v>32</v>
      </c>
      <c r="E7" s="67"/>
      <c r="F7" s="68"/>
      <c r="G7" s="67"/>
      <c r="H7" s="67"/>
      <c r="I7" s="67"/>
      <c r="J7" s="67"/>
      <c r="K7" s="74"/>
      <c r="L7" s="74"/>
    </row>
    <row r="8" s="56" customFormat="1" ht="51" spans="1:12">
      <c r="A8" s="63">
        <v>6</v>
      </c>
      <c r="B8" s="64" t="s">
        <v>26</v>
      </c>
      <c r="C8" s="65" t="s">
        <v>27</v>
      </c>
      <c r="D8" s="66" t="s">
        <v>33</v>
      </c>
      <c r="E8" s="67"/>
      <c r="F8" s="68"/>
      <c r="G8" s="67"/>
      <c r="H8" s="67"/>
      <c r="I8" s="67"/>
      <c r="J8" s="67"/>
      <c r="K8" s="74"/>
      <c r="L8" s="74"/>
    </row>
    <row r="9" s="56" customFormat="1" ht="25.5" spans="1:12">
      <c r="A9" s="63">
        <v>7</v>
      </c>
      <c r="B9" s="64" t="s">
        <v>26</v>
      </c>
      <c r="C9" s="65" t="s">
        <v>27</v>
      </c>
      <c r="D9" s="66" t="s">
        <v>34</v>
      </c>
      <c r="E9" s="67"/>
      <c r="F9" s="68"/>
      <c r="G9" s="67"/>
      <c r="H9" s="67"/>
      <c r="I9" s="67"/>
      <c r="J9" s="67"/>
      <c r="K9" s="74"/>
      <c r="L9" s="74"/>
    </row>
    <row r="10" s="56" customFormat="1" ht="25.5" spans="1:12">
      <c r="A10" s="63">
        <v>8</v>
      </c>
      <c r="B10" s="64" t="s">
        <v>26</v>
      </c>
      <c r="C10" s="65" t="s">
        <v>27</v>
      </c>
      <c r="D10" s="66" t="s">
        <v>35</v>
      </c>
      <c r="E10" s="67"/>
      <c r="F10" s="68"/>
      <c r="G10" s="67"/>
      <c r="H10" s="67"/>
      <c r="I10" s="67"/>
      <c r="J10" s="67"/>
      <c r="K10" s="67"/>
      <c r="L10" s="74"/>
    </row>
    <row r="11" s="56" customFormat="1" ht="38.25" spans="1:12">
      <c r="A11" s="63">
        <v>9</v>
      </c>
      <c r="B11" s="64" t="s">
        <v>26</v>
      </c>
      <c r="C11" s="65" t="s">
        <v>36</v>
      </c>
      <c r="D11" s="66" t="s">
        <v>37</v>
      </c>
      <c r="E11" s="67"/>
      <c r="F11" s="67"/>
      <c r="G11" s="67"/>
      <c r="H11" s="67"/>
      <c r="I11" s="67"/>
      <c r="J11" s="67"/>
      <c r="K11" s="74"/>
      <c r="L11" s="74"/>
    </row>
    <row r="12" s="56" customFormat="1" ht="63.75" spans="1:12">
      <c r="A12" s="63">
        <v>10</v>
      </c>
      <c r="B12" s="64" t="s">
        <v>26</v>
      </c>
      <c r="C12" s="65" t="s">
        <v>36</v>
      </c>
      <c r="D12" s="66" t="s">
        <v>38</v>
      </c>
      <c r="E12" s="67"/>
      <c r="F12" s="68"/>
      <c r="G12" s="67"/>
      <c r="H12" s="67"/>
      <c r="I12" s="67"/>
      <c r="J12" s="67"/>
      <c r="K12" s="67"/>
      <c r="L12" s="74"/>
    </row>
    <row r="13" s="56" customFormat="1" ht="38.25" spans="1:12">
      <c r="A13" s="63">
        <v>11</v>
      </c>
      <c r="B13" s="64" t="s">
        <v>26</v>
      </c>
      <c r="C13" s="65" t="s">
        <v>36</v>
      </c>
      <c r="D13" s="66" t="s">
        <v>39</v>
      </c>
      <c r="E13" s="67"/>
      <c r="F13" s="68"/>
      <c r="G13" s="67"/>
      <c r="H13" s="67"/>
      <c r="I13" s="67"/>
      <c r="J13" s="67"/>
      <c r="K13" s="67"/>
      <c r="L13" s="74"/>
    </row>
    <row r="14" s="56" customFormat="1" ht="76.5" spans="1:12">
      <c r="A14" s="63">
        <v>12</v>
      </c>
      <c r="B14" s="64" t="s">
        <v>26</v>
      </c>
      <c r="C14" s="65" t="s">
        <v>36</v>
      </c>
      <c r="D14" s="66" t="s">
        <v>40</v>
      </c>
      <c r="E14" s="67"/>
      <c r="F14" s="68"/>
      <c r="G14" s="67"/>
      <c r="H14" s="67"/>
      <c r="I14" s="67"/>
      <c r="J14" s="67"/>
      <c r="K14" s="74"/>
      <c r="L14" s="74"/>
    </row>
    <row r="15" s="56" customFormat="1" ht="51" spans="1:12">
      <c r="A15" s="63">
        <v>13</v>
      </c>
      <c r="B15" s="64" t="s">
        <v>26</v>
      </c>
      <c r="C15" s="65" t="s">
        <v>36</v>
      </c>
      <c r="D15" s="66" t="s">
        <v>41</v>
      </c>
      <c r="E15" s="67"/>
      <c r="F15" s="68"/>
      <c r="G15" s="67"/>
      <c r="H15" s="67"/>
      <c r="I15" s="67"/>
      <c r="J15" s="67"/>
      <c r="K15" s="67"/>
      <c r="L15" s="74"/>
    </row>
    <row r="16" s="56" customFormat="1" ht="89.25" spans="1:12">
      <c r="A16" s="63">
        <v>14</v>
      </c>
      <c r="B16" s="64" t="s">
        <v>26</v>
      </c>
      <c r="C16" s="65" t="s">
        <v>36</v>
      </c>
      <c r="D16" s="66" t="s">
        <v>42</v>
      </c>
      <c r="E16" s="67"/>
      <c r="F16" s="68"/>
      <c r="G16" s="67"/>
      <c r="H16" s="67"/>
      <c r="I16" s="67"/>
      <c r="J16" s="67"/>
      <c r="K16" s="67"/>
      <c r="L16" s="74"/>
    </row>
    <row r="17" s="56" customFormat="1" ht="51" spans="1:12">
      <c r="A17" s="63">
        <v>15</v>
      </c>
      <c r="B17" s="64" t="s">
        <v>26</v>
      </c>
      <c r="C17" s="65" t="s">
        <v>36</v>
      </c>
      <c r="D17" s="66" t="s">
        <v>43</v>
      </c>
      <c r="E17" s="67"/>
      <c r="F17" s="68"/>
      <c r="G17" s="67"/>
      <c r="H17" s="67"/>
      <c r="I17" s="67"/>
      <c r="J17" s="67"/>
      <c r="K17" s="74"/>
      <c r="L17" s="74"/>
    </row>
    <row r="18" s="56" customFormat="1" ht="38.25" spans="1:12">
      <c r="A18" s="63">
        <v>16</v>
      </c>
      <c r="B18" s="64" t="s">
        <v>26</v>
      </c>
      <c r="C18" s="65" t="s">
        <v>44</v>
      </c>
      <c r="D18" s="66" t="s">
        <v>45</v>
      </c>
      <c r="E18" s="67"/>
      <c r="F18" s="68"/>
      <c r="G18" s="67"/>
      <c r="H18" s="67"/>
      <c r="I18" s="67"/>
      <c r="J18" s="67"/>
      <c r="K18" s="74"/>
      <c r="L18" s="74"/>
    </row>
    <row r="19" s="56" customFormat="1" ht="38.25" spans="1:12">
      <c r="A19" s="63">
        <v>17</v>
      </c>
      <c r="B19" s="64" t="s">
        <v>26</v>
      </c>
      <c r="C19" s="65" t="s">
        <v>44</v>
      </c>
      <c r="D19" s="66" t="s">
        <v>46</v>
      </c>
      <c r="E19" s="67"/>
      <c r="F19" s="68"/>
      <c r="G19" s="67"/>
      <c r="H19" s="67"/>
      <c r="I19" s="67"/>
      <c r="J19" s="67"/>
      <c r="K19" s="74"/>
      <c r="L19" s="74"/>
    </row>
    <row r="20" s="56" customFormat="1" ht="25.5" spans="1:12">
      <c r="A20" s="63">
        <v>18</v>
      </c>
      <c r="B20" s="64" t="s">
        <v>26</v>
      </c>
      <c r="C20" s="65" t="s">
        <v>44</v>
      </c>
      <c r="D20" s="66" t="s">
        <v>47</v>
      </c>
      <c r="E20" s="67"/>
      <c r="F20" s="68"/>
      <c r="G20" s="67"/>
      <c r="H20" s="67"/>
      <c r="I20" s="67"/>
      <c r="J20" s="67"/>
      <c r="K20" s="67"/>
      <c r="L20" s="74"/>
    </row>
    <row r="21" s="56" customFormat="1" ht="38.25" spans="1:12">
      <c r="A21" s="63">
        <v>19</v>
      </c>
      <c r="B21" s="64" t="s">
        <v>26</v>
      </c>
      <c r="C21" s="65" t="s">
        <v>44</v>
      </c>
      <c r="D21" s="66" t="s">
        <v>48</v>
      </c>
      <c r="E21" s="67"/>
      <c r="F21" s="68"/>
      <c r="G21" s="67"/>
      <c r="H21" s="67"/>
      <c r="I21" s="67"/>
      <c r="J21" s="67"/>
      <c r="K21" s="67"/>
      <c r="L21" s="74"/>
    </row>
    <row r="22" s="56" customFormat="1" ht="76.5" spans="1:12">
      <c r="A22" s="63">
        <v>20</v>
      </c>
      <c r="B22" s="64" t="s">
        <v>26</v>
      </c>
      <c r="C22" s="65" t="s">
        <v>44</v>
      </c>
      <c r="D22" s="66" t="s">
        <v>49</v>
      </c>
      <c r="E22" s="67"/>
      <c r="F22" s="68"/>
      <c r="G22" s="67"/>
      <c r="H22" s="67"/>
      <c r="I22" s="67"/>
      <c r="J22" s="67"/>
      <c r="K22" s="67"/>
      <c r="L22" s="74"/>
    </row>
    <row r="23" s="56" customFormat="1" ht="51" spans="1:12">
      <c r="A23" s="63">
        <v>21</v>
      </c>
      <c r="B23" s="64" t="s">
        <v>26</v>
      </c>
      <c r="C23" s="65" t="s">
        <v>50</v>
      </c>
      <c r="D23" s="66" t="s">
        <v>51</v>
      </c>
      <c r="E23" s="67"/>
      <c r="F23" s="68"/>
      <c r="G23" s="67"/>
      <c r="H23" s="67"/>
      <c r="I23" s="67"/>
      <c r="J23" s="67"/>
      <c r="K23" s="67"/>
      <c r="L23" s="74"/>
    </row>
    <row r="24" s="56" customFormat="1" ht="63.75" spans="1:12">
      <c r="A24" s="63">
        <v>22</v>
      </c>
      <c r="B24" s="64" t="s">
        <v>26</v>
      </c>
      <c r="C24" s="65" t="s">
        <v>50</v>
      </c>
      <c r="D24" s="66" t="s">
        <v>52</v>
      </c>
      <c r="E24" s="67"/>
      <c r="F24" s="68"/>
      <c r="G24" s="67"/>
      <c r="H24" s="67"/>
      <c r="I24" s="67"/>
      <c r="J24" s="67"/>
      <c r="K24" s="67"/>
      <c r="L24" s="74"/>
    </row>
    <row r="25" s="56" customFormat="1" ht="63.75" spans="1:12">
      <c r="A25" s="63">
        <v>23</v>
      </c>
      <c r="B25" s="64" t="s">
        <v>26</v>
      </c>
      <c r="C25" s="65" t="s">
        <v>50</v>
      </c>
      <c r="D25" s="66" t="s">
        <v>53</v>
      </c>
      <c r="E25" s="67"/>
      <c r="F25" s="68"/>
      <c r="G25" s="67"/>
      <c r="H25" s="67"/>
      <c r="I25" s="67"/>
      <c r="J25" s="67"/>
      <c r="K25" s="67"/>
      <c r="L25" s="74"/>
    </row>
    <row r="26" s="56" customFormat="1" ht="38.25" spans="1:12">
      <c r="A26" s="63">
        <v>24</v>
      </c>
      <c r="B26" s="64" t="s">
        <v>26</v>
      </c>
      <c r="C26" s="65" t="s">
        <v>50</v>
      </c>
      <c r="D26" s="66" t="s">
        <v>54</v>
      </c>
      <c r="E26" s="67"/>
      <c r="F26" s="68"/>
      <c r="G26" s="67"/>
      <c r="H26" s="67"/>
      <c r="I26" s="67"/>
      <c r="J26" s="67"/>
      <c r="K26" s="67"/>
      <c r="L26" s="74"/>
    </row>
    <row r="27" s="56" customFormat="1" ht="51" spans="1:12">
      <c r="A27" s="63">
        <v>25</v>
      </c>
      <c r="B27" s="64" t="s">
        <v>26</v>
      </c>
      <c r="C27" s="65" t="s">
        <v>55</v>
      </c>
      <c r="D27" s="66" t="s">
        <v>56</v>
      </c>
      <c r="E27" s="67"/>
      <c r="F27" s="68"/>
      <c r="G27" s="67"/>
      <c r="H27" s="67"/>
      <c r="I27" s="67"/>
      <c r="J27" s="67"/>
      <c r="K27" s="67"/>
      <c r="L27" s="74"/>
    </row>
    <row r="28" s="56" customFormat="1" ht="38.25" spans="1:12">
      <c r="A28" s="63">
        <v>26</v>
      </c>
      <c r="B28" s="64" t="s">
        <v>26</v>
      </c>
      <c r="C28" s="65" t="s">
        <v>55</v>
      </c>
      <c r="D28" s="66" t="s">
        <v>57</v>
      </c>
      <c r="E28" s="67"/>
      <c r="F28" s="68"/>
      <c r="G28" s="67"/>
      <c r="H28" s="67"/>
      <c r="I28" s="67"/>
      <c r="J28" s="67"/>
      <c r="K28" s="67"/>
      <c r="L28" s="74"/>
    </row>
    <row r="29" s="56" customFormat="1" ht="25.5" spans="1:12">
      <c r="A29" s="63">
        <v>27</v>
      </c>
      <c r="B29" s="64" t="s">
        <v>26</v>
      </c>
      <c r="C29" s="65" t="s">
        <v>55</v>
      </c>
      <c r="D29" s="66" t="s">
        <v>58</v>
      </c>
      <c r="E29" s="67"/>
      <c r="F29" s="68"/>
      <c r="G29" s="67"/>
      <c r="H29" s="67"/>
      <c r="I29" s="67"/>
      <c r="J29" s="67"/>
      <c r="K29" s="67"/>
      <c r="L29" s="74"/>
    </row>
    <row r="30" s="56" customFormat="1" ht="38.25" spans="1:12">
      <c r="A30" s="63">
        <v>28</v>
      </c>
      <c r="B30" s="64" t="s">
        <v>26</v>
      </c>
      <c r="C30" s="65" t="s">
        <v>55</v>
      </c>
      <c r="D30" s="66" t="s">
        <v>59</v>
      </c>
      <c r="E30" s="67"/>
      <c r="F30" s="68"/>
      <c r="G30" s="67"/>
      <c r="H30" s="67"/>
      <c r="I30" s="67"/>
      <c r="J30" s="67"/>
      <c r="K30" s="67"/>
      <c r="L30" s="74"/>
    </row>
    <row r="31" s="56" customFormat="1" ht="38.25" spans="1:12">
      <c r="A31" s="63">
        <v>29</v>
      </c>
      <c r="B31" s="64" t="s">
        <v>26</v>
      </c>
      <c r="C31" s="65" t="s">
        <v>60</v>
      </c>
      <c r="D31" s="66" t="s">
        <v>61</v>
      </c>
      <c r="E31" s="67"/>
      <c r="F31" s="68"/>
      <c r="G31" s="67"/>
      <c r="H31" s="67"/>
      <c r="I31" s="67"/>
      <c r="J31" s="67"/>
      <c r="K31" s="67"/>
      <c r="L31" s="74"/>
    </row>
    <row r="32" s="56" customFormat="1" ht="51" spans="1:12">
      <c r="A32" s="63">
        <v>30</v>
      </c>
      <c r="B32" s="64" t="s">
        <v>26</v>
      </c>
      <c r="C32" s="65" t="s">
        <v>60</v>
      </c>
      <c r="D32" s="66" t="s">
        <v>62</v>
      </c>
      <c r="E32" s="67"/>
      <c r="F32" s="68"/>
      <c r="G32" s="67"/>
      <c r="H32" s="67"/>
      <c r="I32" s="67"/>
      <c r="J32" s="67"/>
      <c r="K32" s="67"/>
      <c r="L32" s="74"/>
    </row>
    <row r="33" s="56" customFormat="1" ht="25.5" spans="1:12">
      <c r="A33" s="63">
        <v>31</v>
      </c>
      <c r="B33" s="64" t="s">
        <v>26</v>
      </c>
      <c r="C33" s="65" t="s">
        <v>60</v>
      </c>
      <c r="D33" s="66" t="s">
        <v>63</v>
      </c>
      <c r="E33" s="67"/>
      <c r="F33" s="68"/>
      <c r="G33" s="67"/>
      <c r="H33" s="67"/>
      <c r="I33" s="67"/>
      <c r="J33" s="67"/>
      <c r="K33" s="67"/>
      <c r="L33" s="74"/>
    </row>
    <row r="34" s="56" customFormat="1" ht="51" spans="1:12">
      <c r="A34" s="63">
        <v>32</v>
      </c>
      <c r="B34" s="64" t="s">
        <v>26</v>
      </c>
      <c r="C34" s="65" t="s">
        <v>60</v>
      </c>
      <c r="D34" s="66" t="s">
        <v>64</v>
      </c>
      <c r="E34" s="67"/>
      <c r="F34" s="68"/>
      <c r="G34" s="67"/>
      <c r="H34" s="67"/>
      <c r="I34" s="67"/>
      <c r="J34" s="67"/>
      <c r="K34" s="67"/>
      <c r="L34" s="74"/>
    </row>
    <row r="35" s="56" customFormat="1" ht="38.25" spans="1:12">
      <c r="A35" s="63">
        <v>33</v>
      </c>
      <c r="B35" s="64" t="s">
        <v>26</v>
      </c>
      <c r="C35" s="65" t="s">
        <v>60</v>
      </c>
      <c r="D35" s="66" t="s">
        <v>65</v>
      </c>
      <c r="E35" s="67"/>
      <c r="F35" s="68"/>
      <c r="G35" s="67"/>
      <c r="H35" s="67"/>
      <c r="I35" s="67"/>
      <c r="J35" s="67"/>
      <c r="K35" s="67"/>
      <c r="L35" s="74"/>
    </row>
    <row r="36" s="56" customFormat="1" ht="38.25" spans="1:12">
      <c r="A36" s="63">
        <v>34</v>
      </c>
      <c r="B36" s="64" t="s">
        <v>26</v>
      </c>
      <c r="C36" s="65" t="s">
        <v>60</v>
      </c>
      <c r="D36" s="66" t="s">
        <v>66</v>
      </c>
      <c r="E36" s="67"/>
      <c r="F36" s="68"/>
      <c r="G36" s="67"/>
      <c r="H36" s="67"/>
      <c r="I36" s="67"/>
      <c r="J36" s="67"/>
      <c r="K36" s="67"/>
      <c r="L36" s="74"/>
    </row>
    <row r="37" s="56" customFormat="1" ht="25.5" spans="1:12">
      <c r="A37" s="63">
        <v>35</v>
      </c>
      <c r="B37" s="64" t="s">
        <v>26</v>
      </c>
      <c r="C37" s="65" t="s">
        <v>67</v>
      </c>
      <c r="D37" s="66" t="s">
        <v>68</v>
      </c>
      <c r="E37" s="67"/>
      <c r="F37" s="68"/>
      <c r="G37" s="67"/>
      <c r="H37" s="67"/>
      <c r="I37" s="67"/>
      <c r="J37" s="67"/>
      <c r="K37" s="67"/>
      <c r="L37" s="74"/>
    </row>
    <row r="38" s="56" customFormat="1" ht="38.25" spans="1:12">
      <c r="A38" s="63">
        <v>36</v>
      </c>
      <c r="B38" s="64" t="s">
        <v>26</v>
      </c>
      <c r="C38" s="65" t="s">
        <v>67</v>
      </c>
      <c r="D38" s="66" t="s">
        <v>69</v>
      </c>
      <c r="E38" s="67"/>
      <c r="F38" s="68"/>
      <c r="G38" s="67"/>
      <c r="H38" s="67"/>
      <c r="I38" s="67"/>
      <c r="J38" s="67"/>
      <c r="K38" s="67"/>
      <c r="L38" s="74"/>
    </row>
    <row r="39" s="56" customFormat="1" ht="25.5" spans="1:12">
      <c r="A39" s="63">
        <v>37</v>
      </c>
      <c r="B39" s="64" t="s">
        <v>26</v>
      </c>
      <c r="C39" s="65" t="s">
        <v>67</v>
      </c>
      <c r="D39" s="66" t="s">
        <v>70</v>
      </c>
      <c r="E39" s="67"/>
      <c r="F39" s="68"/>
      <c r="G39" s="67"/>
      <c r="H39" s="67"/>
      <c r="I39" s="67"/>
      <c r="J39" s="67"/>
      <c r="K39" s="67"/>
      <c r="L39" s="74"/>
    </row>
    <row r="40" s="56" customFormat="1" ht="63.75" spans="1:12">
      <c r="A40" s="63">
        <v>38</v>
      </c>
      <c r="B40" s="64" t="s">
        <v>26</v>
      </c>
      <c r="C40" s="65" t="s">
        <v>71</v>
      </c>
      <c r="D40" s="66" t="s">
        <v>72</v>
      </c>
      <c r="E40" s="67"/>
      <c r="F40" s="68"/>
      <c r="G40" s="67"/>
      <c r="H40" s="67"/>
      <c r="I40" s="67"/>
      <c r="J40" s="67"/>
      <c r="K40" s="67"/>
      <c r="L40" s="74"/>
    </row>
    <row r="41" s="56" customFormat="1" ht="25.5" spans="1:12">
      <c r="A41" s="63">
        <v>39</v>
      </c>
      <c r="B41" s="64" t="s">
        <v>26</v>
      </c>
      <c r="C41" s="65" t="s">
        <v>71</v>
      </c>
      <c r="D41" s="66" t="s">
        <v>73</v>
      </c>
      <c r="E41" s="67"/>
      <c r="F41" s="68"/>
      <c r="G41" s="67"/>
      <c r="H41" s="67"/>
      <c r="I41" s="67"/>
      <c r="J41" s="67"/>
      <c r="K41" s="67"/>
      <c r="L41" s="74"/>
    </row>
    <row r="42" s="56" customFormat="1" ht="51" spans="1:12">
      <c r="A42" s="63">
        <v>40</v>
      </c>
      <c r="B42" s="64" t="s">
        <v>26</v>
      </c>
      <c r="C42" s="65" t="s">
        <v>71</v>
      </c>
      <c r="D42" s="66" t="s">
        <v>74</v>
      </c>
      <c r="E42" s="67"/>
      <c r="F42" s="68"/>
      <c r="G42" s="67"/>
      <c r="H42" s="67"/>
      <c r="I42" s="67"/>
      <c r="J42" s="67"/>
      <c r="K42" s="67"/>
      <c r="L42" s="74"/>
    </row>
    <row r="43" s="56" customFormat="1" ht="38.25" spans="1:12">
      <c r="A43" s="63">
        <v>41</v>
      </c>
      <c r="B43" s="64" t="s">
        <v>26</v>
      </c>
      <c r="C43" s="65" t="s">
        <v>71</v>
      </c>
      <c r="D43" s="66" t="s">
        <v>75</v>
      </c>
      <c r="E43" s="67"/>
      <c r="F43" s="68"/>
      <c r="G43" s="67"/>
      <c r="H43" s="67"/>
      <c r="I43" s="67"/>
      <c r="J43" s="67"/>
      <c r="K43" s="67"/>
      <c r="L43" s="74"/>
    </row>
    <row r="44" s="56" customFormat="1" ht="63.75" spans="1:12">
      <c r="A44" s="63">
        <v>42</v>
      </c>
      <c r="B44" s="64" t="s">
        <v>26</v>
      </c>
      <c r="C44" s="65" t="s">
        <v>76</v>
      </c>
      <c r="D44" s="66" t="s">
        <v>77</v>
      </c>
      <c r="E44" s="67"/>
      <c r="F44" s="68"/>
      <c r="G44" s="67"/>
      <c r="H44" s="67"/>
      <c r="I44" s="67"/>
      <c r="J44" s="67"/>
      <c r="K44" s="67"/>
      <c r="L44" s="74"/>
    </row>
    <row r="45" s="56" customFormat="1" ht="51" spans="1:12">
      <c r="A45" s="63">
        <v>43</v>
      </c>
      <c r="B45" s="64" t="s">
        <v>26</v>
      </c>
      <c r="C45" s="65" t="s">
        <v>76</v>
      </c>
      <c r="D45" s="66" t="s">
        <v>78</v>
      </c>
      <c r="E45" s="67"/>
      <c r="F45" s="68"/>
      <c r="G45" s="67"/>
      <c r="H45" s="67"/>
      <c r="I45" s="67"/>
      <c r="J45" s="67"/>
      <c r="K45" s="67"/>
      <c r="L45" s="74"/>
    </row>
    <row r="46" s="56" customFormat="1" ht="38.25" spans="1:12">
      <c r="A46" s="63">
        <v>44</v>
      </c>
      <c r="B46" s="64" t="s">
        <v>26</v>
      </c>
      <c r="C46" s="65" t="s">
        <v>76</v>
      </c>
      <c r="D46" s="66" t="s">
        <v>79</v>
      </c>
      <c r="E46" s="67"/>
      <c r="F46" s="68"/>
      <c r="G46" s="67"/>
      <c r="H46" s="67"/>
      <c r="I46" s="67"/>
      <c r="J46" s="67"/>
      <c r="K46" s="67"/>
      <c r="L46" s="74"/>
    </row>
    <row r="47" ht="25.5" spans="1:12">
      <c r="A47" s="69">
        <v>45</v>
      </c>
      <c r="B47" s="70" t="s">
        <v>80</v>
      </c>
      <c r="C47" s="34" t="s">
        <v>27</v>
      </c>
      <c r="D47" s="71" t="s">
        <v>81</v>
      </c>
      <c r="E47" s="72"/>
      <c r="F47" s="73"/>
      <c r="G47" s="72"/>
      <c r="H47" s="72"/>
      <c r="I47" s="72"/>
      <c r="J47" s="72"/>
      <c r="K47" s="72"/>
      <c r="L47" s="71"/>
    </row>
    <row r="48" ht="25.5" spans="1:12">
      <c r="A48" s="69">
        <v>46</v>
      </c>
      <c r="B48" s="70" t="s">
        <v>80</v>
      </c>
      <c r="C48" s="34" t="s">
        <v>27</v>
      </c>
      <c r="D48" s="71" t="s">
        <v>82</v>
      </c>
      <c r="E48" s="72"/>
      <c r="F48" s="73"/>
      <c r="G48" s="72"/>
      <c r="H48" s="72"/>
      <c r="I48" s="72"/>
      <c r="J48" s="72"/>
      <c r="K48" s="72"/>
      <c r="L48" s="71"/>
    </row>
    <row r="49" ht="38.25" spans="1:12">
      <c r="A49" s="69">
        <v>47</v>
      </c>
      <c r="B49" s="70" t="s">
        <v>80</v>
      </c>
      <c r="C49" s="34" t="s">
        <v>27</v>
      </c>
      <c r="D49" s="71" t="s">
        <v>83</v>
      </c>
      <c r="E49" s="72"/>
      <c r="F49" s="73"/>
      <c r="G49" s="72"/>
      <c r="H49" s="72"/>
      <c r="I49" s="72"/>
      <c r="J49" s="72"/>
      <c r="K49" s="72"/>
      <c r="L49" s="71"/>
    </row>
    <row r="50" ht="51" spans="1:12">
      <c r="A50" s="69">
        <v>48</v>
      </c>
      <c r="B50" s="70" t="s">
        <v>80</v>
      </c>
      <c r="C50" s="34" t="s">
        <v>27</v>
      </c>
      <c r="D50" s="71" t="s">
        <v>84</v>
      </c>
      <c r="E50" s="72"/>
      <c r="F50" s="73"/>
      <c r="G50" s="72"/>
      <c r="H50" s="72"/>
      <c r="I50" s="72"/>
      <c r="J50" s="72"/>
      <c r="K50" s="72"/>
      <c r="L50" s="71"/>
    </row>
    <row r="51" ht="51" spans="1:12">
      <c r="A51" s="69">
        <v>49</v>
      </c>
      <c r="B51" s="70" t="s">
        <v>80</v>
      </c>
      <c r="C51" s="34" t="s">
        <v>27</v>
      </c>
      <c r="D51" s="71" t="s">
        <v>85</v>
      </c>
      <c r="E51" s="72"/>
      <c r="F51" s="73"/>
      <c r="G51" s="72"/>
      <c r="H51" s="72"/>
      <c r="I51" s="72"/>
      <c r="J51" s="72"/>
      <c r="K51" s="72"/>
      <c r="L51" s="71"/>
    </row>
    <row r="52" ht="38.25" spans="1:12">
      <c r="A52" s="69">
        <v>50</v>
      </c>
      <c r="B52" s="70" t="s">
        <v>80</v>
      </c>
      <c r="C52" s="34" t="s">
        <v>27</v>
      </c>
      <c r="D52" s="71" t="s">
        <v>86</v>
      </c>
      <c r="E52" s="72"/>
      <c r="F52" s="73"/>
      <c r="G52" s="72"/>
      <c r="H52" s="72"/>
      <c r="I52" s="72"/>
      <c r="J52" s="72"/>
      <c r="K52" s="72"/>
      <c r="L52" s="71"/>
    </row>
    <row r="53" ht="25.5" spans="1:12">
      <c r="A53" s="69">
        <v>51</v>
      </c>
      <c r="B53" s="70" t="s">
        <v>80</v>
      </c>
      <c r="C53" s="34" t="s">
        <v>27</v>
      </c>
      <c r="D53" s="71" t="s">
        <v>87</v>
      </c>
      <c r="E53" s="72"/>
      <c r="F53" s="73"/>
      <c r="G53" s="72"/>
      <c r="H53" s="72"/>
      <c r="I53" s="72"/>
      <c r="J53" s="72"/>
      <c r="K53" s="72"/>
      <c r="L53" s="71"/>
    </row>
    <row r="54" ht="49.5" customHeight="1" spans="1:12">
      <c r="A54" s="69">
        <v>52</v>
      </c>
      <c r="B54" s="70" t="s">
        <v>80</v>
      </c>
      <c r="C54" s="34" t="s">
        <v>36</v>
      </c>
      <c r="D54" s="71" t="s">
        <v>88</v>
      </c>
      <c r="E54" s="72"/>
      <c r="F54" s="73"/>
      <c r="G54" s="72"/>
      <c r="H54" s="72"/>
      <c r="I54" s="72"/>
      <c r="J54" s="72"/>
      <c r="K54" s="72"/>
      <c r="L54" s="71"/>
    </row>
    <row r="55" ht="72" customHeight="1" spans="1:12">
      <c r="A55" s="69">
        <v>53</v>
      </c>
      <c r="B55" s="70" t="s">
        <v>80</v>
      </c>
      <c r="C55" s="34" t="s">
        <v>36</v>
      </c>
      <c r="D55" s="71" t="s">
        <v>89</v>
      </c>
      <c r="E55" s="72"/>
      <c r="F55" s="73"/>
      <c r="G55" s="72"/>
      <c r="H55" s="72"/>
      <c r="I55" s="72"/>
      <c r="J55" s="72"/>
      <c r="K55" s="72"/>
      <c r="L55" s="71"/>
    </row>
    <row r="56" ht="38.25" customHeight="1" spans="1:12">
      <c r="A56" s="69">
        <v>54</v>
      </c>
      <c r="B56" s="70" t="s">
        <v>80</v>
      </c>
      <c r="C56" s="34" t="s">
        <v>36</v>
      </c>
      <c r="D56" s="71" t="s">
        <v>90</v>
      </c>
      <c r="E56" s="72"/>
      <c r="F56" s="73"/>
      <c r="G56" s="72"/>
      <c r="H56" s="72"/>
      <c r="I56" s="72"/>
      <c r="J56" s="72"/>
      <c r="K56" s="72"/>
      <c r="L56" s="71"/>
    </row>
    <row r="57" ht="63" customHeight="1" spans="1:12">
      <c r="A57" s="69">
        <v>55</v>
      </c>
      <c r="B57" s="70" t="s">
        <v>80</v>
      </c>
      <c r="C57" s="34" t="s">
        <v>36</v>
      </c>
      <c r="D57" s="71" t="s">
        <v>91</v>
      </c>
      <c r="E57" s="72"/>
      <c r="F57" s="73"/>
      <c r="G57" s="72"/>
      <c r="H57" s="72"/>
      <c r="I57" s="72"/>
      <c r="J57" s="72"/>
      <c r="K57" s="72"/>
      <c r="L57" s="71"/>
    </row>
    <row r="58" ht="49.5" customHeight="1" spans="1:12">
      <c r="A58" s="69">
        <v>56</v>
      </c>
      <c r="B58" s="70" t="s">
        <v>80</v>
      </c>
      <c r="C58" s="34" t="s">
        <v>36</v>
      </c>
      <c r="D58" s="71" t="s">
        <v>92</v>
      </c>
      <c r="E58" s="72"/>
      <c r="F58" s="73"/>
      <c r="G58" s="72"/>
      <c r="H58" s="72"/>
      <c r="I58" s="72"/>
      <c r="J58" s="72"/>
      <c r="K58" s="72"/>
      <c r="L58" s="71"/>
    </row>
    <row r="59" ht="74.25" customHeight="1" spans="1:12">
      <c r="A59" s="69">
        <v>57</v>
      </c>
      <c r="B59" s="70" t="s">
        <v>80</v>
      </c>
      <c r="C59" s="34" t="s">
        <v>36</v>
      </c>
      <c r="D59" s="71" t="s">
        <v>93</v>
      </c>
      <c r="E59" s="72"/>
      <c r="F59" s="73"/>
      <c r="G59" s="72"/>
      <c r="H59" s="72"/>
      <c r="I59" s="72"/>
      <c r="J59" s="72"/>
      <c r="K59" s="72"/>
      <c r="L59" s="71"/>
    </row>
    <row r="60" ht="48.75" customHeight="1" spans="1:12">
      <c r="A60" s="69">
        <v>58</v>
      </c>
      <c r="B60" s="70" t="s">
        <v>80</v>
      </c>
      <c r="C60" s="34" t="s">
        <v>44</v>
      </c>
      <c r="D60" s="71" t="s">
        <v>94</v>
      </c>
      <c r="E60" s="72"/>
      <c r="F60" s="73"/>
      <c r="G60" s="72"/>
      <c r="H60" s="72"/>
      <c r="I60" s="72"/>
      <c r="J60" s="72"/>
      <c r="K60" s="72"/>
      <c r="L60" s="71"/>
    </row>
    <row r="61" ht="45.75" customHeight="1" spans="1:12">
      <c r="A61" s="69">
        <v>59</v>
      </c>
      <c r="B61" s="70" t="s">
        <v>80</v>
      </c>
      <c r="C61" s="34" t="s">
        <v>44</v>
      </c>
      <c r="D61" s="71" t="s">
        <v>95</v>
      </c>
      <c r="E61" s="72"/>
      <c r="F61" s="73"/>
      <c r="G61" s="72"/>
      <c r="H61" s="72"/>
      <c r="I61" s="72"/>
      <c r="J61" s="72"/>
      <c r="K61" s="72"/>
      <c r="L61" s="71"/>
    </row>
    <row r="62" ht="25.5" spans="1:12">
      <c r="A62" s="69">
        <v>60</v>
      </c>
      <c r="B62" s="70" t="s">
        <v>80</v>
      </c>
      <c r="C62" s="34" t="s">
        <v>44</v>
      </c>
      <c r="D62" s="71" t="s">
        <v>47</v>
      </c>
      <c r="E62" s="72"/>
      <c r="F62" s="73"/>
      <c r="G62" s="72"/>
      <c r="H62" s="72"/>
      <c r="I62" s="72"/>
      <c r="J62" s="72"/>
      <c r="K62" s="72"/>
      <c r="L62" s="71"/>
    </row>
    <row r="63" ht="38.25" spans="1:12">
      <c r="A63" s="69">
        <v>61</v>
      </c>
      <c r="B63" s="70" t="s">
        <v>80</v>
      </c>
      <c r="C63" s="34" t="s">
        <v>44</v>
      </c>
      <c r="D63" s="71" t="s">
        <v>96</v>
      </c>
      <c r="E63" s="72"/>
      <c r="F63" s="73"/>
      <c r="G63" s="72"/>
      <c r="H63" s="72"/>
      <c r="I63" s="72"/>
      <c r="J63" s="72"/>
      <c r="K63" s="72"/>
      <c r="L63" s="71"/>
    </row>
    <row r="64" ht="51" spans="1:12">
      <c r="A64" s="69">
        <v>62</v>
      </c>
      <c r="B64" s="70" t="s">
        <v>80</v>
      </c>
      <c r="C64" s="34" t="s">
        <v>44</v>
      </c>
      <c r="D64" s="71" t="s">
        <v>97</v>
      </c>
      <c r="E64" s="72"/>
      <c r="F64" s="73"/>
      <c r="G64" s="72"/>
      <c r="H64" s="72"/>
      <c r="I64" s="72"/>
      <c r="J64" s="72"/>
      <c r="K64" s="72"/>
      <c r="L64" s="71"/>
    </row>
    <row r="65" ht="38.25" spans="1:12">
      <c r="A65" s="69">
        <v>63</v>
      </c>
      <c r="B65" s="70" t="s">
        <v>80</v>
      </c>
      <c r="C65" s="34" t="s">
        <v>50</v>
      </c>
      <c r="D65" s="71" t="s">
        <v>98</v>
      </c>
      <c r="E65" s="72"/>
      <c r="F65" s="73"/>
      <c r="G65" s="72"/>
      <c r="H65" s="72"/>
      <c r="I65" s="72"/>
      <c r="J65" s="72"/>
      <c r="K65" s="72"/>
      <c r="L65" s="71"/>
    </row>
    <row r="66" ht="63.75" spans="1:12">
      <c r="A66" s="69">
        <v>64</v>
      </c>
      <c r="B66" s="70" t="s">
        <v>80</v>
      </c>
      <c r="C66" s="34" t="s">
        <v>50</v>
      </c>
      <c r="D66" s="71" t="s">
        <v>99</v>
      </c>
      <c r="E66" s="72"/>
      <c r="F66" s="73"/>
      <c r="G66" s="72"/>
      <c r="H66" s="72"/>
      <c r="I66" s="72"/>
      <c r="J66" s="72"/>
      <c r="K66" s="72"/>
      <c r="L66" s="71"/>
    </row>
    <row r="67" ht="76.5" spans="1:12">
      <c r="A67" s="69">
        <v>65</v>
      </c>
      <c r="B67" s="70" t="s">
        <v>80</v>
      </c>
      <c r="C67" s="34" t="s">
        <v>50</v>
      </c>
      <c r="D67" s="71" t="s">
        <v>100</v>
      </c>
      <c r="E67" s="72"/>
      <c r="F67" s="73"/>
      <c r="G67" s="72"/>
      <c r="H67" s="72"/>
      <c r="I67" s="72"/>
      <c r="J67" s="72"/>
      <c r="K67" s="72"/>
      <c r="L67" s="71"/>
    </row>
    <row r="68" ht="38.25" spans="1:12">
      <c r="A68" s="69">
        <v>66</v>
      </c>
      <c r="B68" s="70" t="s">
        <v>80</v>
      </c>
      <c r="C68" s="34" t="s">
        <v>50</v>
      </c>
      <c r="D68" s="71" t="s">
        <v>54</v>
      </c>
      <c r="E68" s="72"/>
      <c r="F68" s="73"/>
      <c r="G68" s="72"/>
      <c r="H68" s="72"/>
      <c r="I68" s="72"/>
      <c r="J68" s="72"/>
      <c r="K68" s="72"/>
      <c r="L68" s="71"/>
    </row>
    <row r="69" ht="25.5" spans="1:12">
      <c r="A69" s="69">
        <v>67</v>
      </c>
      <c r="B69" s="70" t="s">
        <v>80</v>
      </c>
      <c r="C69" s="34" t="s">
        <v>50</v>
      </c>
      <c r="D69" s="71" t="s">
        <v>101</v>
      </c>
      <c r="E69" s="72"/>
      <c r="F69" s="73"/>
      <c r="G69" s="72"/>
      <c r="H69" s="72"/>
      <c r="I69" s="72"/>
      <c r="J69" s="72"/>
      <c r="K69" s="72"/>
      <c r="L69" s="71"/>
    </row>
    <row r="70" ht="63.75" spans="1:12">
      <c r="A70" s="69">
        <v>68</v>
      </c>
      <c r="B70" s="70" t="s">
        <v>80</v>
      </c>
      <c r="C70" s="34" t="s">
        <v>55</v>
      </c>
      <c r="D70" s="71" t="s">
        <v>102</v>
      </c>
      <c r="E70" s="72"/>
      <c r="F70" s="73"/>
      <c r="G70" s="72"/>
      <c r="H70" s="72"/>
      <c r="I70" s="72"/>
      <c r="J70" s="72"/>
      <c r="K70" s="72"/>
      <c r="L70" s="71"/>
    </row>
    <row r="71" ht="38.25" spans="1:12">
      <c r="A71" s="69">
        <v>69</v>
      </c>
      <c r="B71" s="70" t="s">
        <v>80</v>
      </c>
      <c r="C71" s="34" t="s">
        <v>55</v>
      </c>
      <c r="D71" s="71" t="s">
        <v>103</v>
      </c>
      <c r="E71" s="72"/>
      <c r="F71" s="73"/>
      <c r="G71" s="72"/>
      <c r="H71" s="72"/>
      <c r="I71" s="72"/>
      <c r="J71" s="72"/>
      <c r="K71" s="72"/>
      <c r="L71" s="71"/>
    </row>
    <row r="72" ht="25.5" spans="1:12">
      <c r="A72" s="69">
        <v>70</v>
      </c>
      <c r="B72" s="70" t="s">
        <v>80</v>
      </c>
      <c r="C72" s="34" t="s">
        <v>55</v>
      </c>
      <c r="D72" s="71" t="s">
        <v>104</v>
      </c>
      <c r="E72" s="72"/>
      <c r="F72" s="73"/>
      <c r="G72" s="72"/>
      <c r="H72" s="72"/>
      <c r="I72" s="72"/>
      <c r="J72" s="72"/>
      <c r="K72" s="72"/>
      <c r="L72" s="71"/>
    </row>
    <row r="73" ht="38.25" spans="1:12">
      <c r="A73" s="69">
        <v>71</v>
      </c>
      <c r="B73" s="70" t="s">
        <v>80</v>
      </c>
      <c r="C73" s="34" t="s">
        <v>55</v>
      </c>
      <c r="D73" s="71" t="s">
        <v>105</v>
      </c>
      <c r="E73" s="72"/>
      <c r="F73" s="73"/>
      <c r="G73" s="72"/>
      <c r="H73" s="72"/>
      <c r="I73" s="72"/>
      <c r="J73" s="72"/>
      <c r="K73" s="72"/>
      <c r="L73" s="71"/>
    </row>
    <row r="74" ht="25.5" spans="1:12">
      <c r="A74" s="69">
        <v>72</v>
      </c>
      <c r="B74" s="70" t="s">
        <v>80</v>
      </c>
      <c r="C74" s="34" t="s">
        <v>55</v>
      </c>
      <c r="D74" s="71" t="s">
        <v>106</v>
      </c>
      <c r="E74" s="72"/>
      <c r="F74" s="73"/>
      <c r="G74" s="72"/>
      <c r="H74" s="72"/>
      <c r="I74" s="72"/>
      <c r="J74" s="72"/>
      <c r="K74" s="72"/>
      <c r="L74" s="71"/>
    </row>
    <row r="75" ht="38.25" spans="1:12">
      <c r="A75" s="69">
        <v>73</v>
      </c>
      <c r="B75" s="70" t="s">
        <v>80</v>
      </c>
      <c r="C75" s="34" t="s">
        <v>60</v>
      </c>
      <c r="D75" s="71" t="s">
        <v>61</v>
      </c>
      <c r="E75" s="72"/>
      <c r="F75" s="73"/>
      <c r="G75" s="72"/>
      <c r="H75" s="72"/>
      <c r="I75" s="72"/>
      <c r="J75" s="72"/>
      <c r="K75" s="72"/>
      <c r="L75" s="71"/>
    </row>
    <row r="76" ht="63.75" spans="1:12">
      <c r="A76" s="69">
        <v>74</v>
      </c>
      <c r="B76" s="70" t="s">
        <v>80</v>
      </c>
      <c r="C76" s="34" t="s">
        <v>60</v>
      </c>
      <c r="D76" s="71" t="s">
        <v>107</v>
      </c>
      <c r="E76" s="72"/>
      <c r="F76" s="73"/>
      <c r="G76" s="72"/>
      <c r="H76" s="72"/>
      <c r="I76" s="72"/>
      <c r="J76" s="72"/>
      <c r="K76" s="72"/>
      <c r="L76" s="71"/>
    </row>
    <row r="77" ht="25.5" spans="1:12">
      <c r="A77" s="69">
        <v>75</v>
      </c>
      <c r="B77" s="70" t="s">
        <v>80</v>
      </c>
      <c r="C77" s="34" t="s">
        <v>60</v>
      </c>
      <c r="D77" s="71" t="s">
        <v>63</v>
      </c>
      <c r="E77" s="72"/>
      <c r="F77" s="73"/>
      <c r="G77" s="72"/>
      <c r="H77" s="72"/>
      <c r="I77" s="72"/>
      <c r="J77" s="72"/>
      <c r="K77" s="72"/>
      <c r="L77" s="71"/>
    </row>
    <row r="78" ht="25.5" spans="1:12">
      <c r="A78" s="69">
        <v>76</v>
      </c>
      <c r="B78" s="70" t="s">
        <v>80</v>
      </c>
      <c r="C78" s="34" t="s">
        <v>60</v>
      </c>
      <c r="D78" s="71" t="s">
        <v>108</v>
      </c>
      <c r="E78" s="72"/>
      <c r="F78" s="73"/>
      <c r="G78" s="72"/>
      <c r="H78" s="72"/>
      <c r="I78" s="72"/>
      <c r="J78" s="72"/>
      <c r="K78" s="72"/>
      <c r="L78" s="71"/>
    </row>
    <row r="79" ht="38.25" spans="1:12">
      <c r="A79" s="69">
        <v>77</v>
      </c>
      <c r="B79" s="70" t="s">
        <v>80</v>
      </c>
      <c r="C79" s="34" t="s">
        <v>60</v>
      </c>
      <c r="D79" s="71" t="s">
        <v>109</v>
      </c>
      <c r="E79" s="72"/>
      <c r="F79" s="73"/>
      <c r="G79" s="72"/>
      <c r="H79" s="72"/>
      <c r="I79" s="72"/>
      <c r="J79" s="72"/>
      <c r="K79" s="72"/>
      <c r="L79" s="71"/>
    </row>
    <row r="80" ht="38.25" spans="1:12">
      <c r="A80" s="69">
        <v>78</v>
      </c>
      <c r="B80" s="70" t="s">
        <v>80</v>
      </c>
      <c r="C80" s="34" t="s">
        <v>60</v>
      </c>
      <c r="D80" s="71" t="s">
        <v>66</v>
      </c>
      <c r="E80" s="72"/>
      <c r="F80" s="73"/>
      <c r="G80" s="72"/>
      <c r="H80" s="72"/>
      <c r="I80" s="72"/>
      <c r="J80" s="72"/>
      <c r="K80" s="72"/>
      <c r="L80" s="71"/>
    </row>
    <row r="81" ht="25.5" spans="1:12">
      <c r="A81" s="69">
        <v>79</v>
      </c>
      <c r="B81" s="70" t="s">
        <v>80</v>
      </c>
      <c r="C81" s="34" t="s">
        <v>67</v>
      </c>
      <c r="D81" s="71" t="s">
        <v>68</v>
      </c>
      <c r="E81" s="72"/>
      <c r="F81" s="73"/>
      <c r="G81" s="72"/>
      <c r="H81" s="72"/>
      <c r="I81" s="72"/>
      <c r="J81" s="72"/>
      <c r="K81" s="72"/>
      <c r="L81" s="71"/>
    </row>
    <row r="82" ht="38.25" spans="1:12">
      <c r="A82" s="69">
        <v>80</v>
      </c>
      <c r="B82" s="70" t="s">
        <v>80</v>
      </c>
      <c r="C82" s="34" t="s">
        <v>67</v>
      </c>
      <c r="D82" s="71" t="s">
        <v>69</v>
      </c>
      <c r="E82" s="72"/>
      <c r="F82" s="73"/>
      <c r="G82" s="72"/>
      <c r="H82" s="72"/>
      <c r="I82" s="72"/>
      <c r="J82" s="72"/>
      <c r="K82" s="72"/>
      <c r="L82" s="71"/>
    </row>
    <row r="83" ht="25.5" spans="1:12">
      <c r="A83" s="69">
        <v>81</v>
      </c>
      <c r="B83" s="70" t="s">
        <v>80</v>
      </c>
      <c r="C83" s="34" t="s">
        <v>67</v>
      </c>
      <c r="D83" s="71" t="s">
        <v>70</v>
      </c>
      <c r="E83" s="72"/>
      <c r="F83" s="73"/>
      <c r="G83" s="72"/>
      <c r="H83" s="72"/>
      <c r="I83" s="72"/>
      <c r="J83" s="72"/>
      <c r="K83" s="72"/>
      <c r="L83" s="71"/>
    </row>
    <row r="84" ht="63.75" spans="1:12">
      <c r="A84" s="69">
        <v>82</v>
      </c>
      <c r="B84" s="70" t="s">
        <v>80</v>
      </c>
      <c r="C84" s="34" t="s">
        <v>71</v>
      </c>
      <c r="D84" s="71" t="s">
        <v>110</v>
      </c>
      <c r="E84" s="72"/>
      <c r="F84" s="73"/>
      <c r="G84" s="72"/>
      <c r="H84" s="72"/>
      <c r="I84" s="72"/>
      <c r="J84" s="72"/>
      <c r="K84" s="72"/>
      <c r="L84" s="71"/>
    </row>
    <row r="85" ht="25.5" spans="1:12">
      <c r="A85" s="69">
        <v>83</v>
      </c>
      <c r="B85" s="70" t="s">
        <v>80</v>
      </c>
      <c r="C85" s="34" t="s">
        <v>71</v>
      </c>
      <c r="D85" s="71" t="s">
        <v>111</v>
      </c>
      <c r="E85" s="72"/>
      <c r="F85" s="73"/>
      <c r="G85" s="72"/>
      <c r="H85" s="72"/>
      <c r="I85" s="72"/>
      <c r="J85" s="72"/>
      <c r="K85" s="72"/>
      <c r="L85" s="71"/>
    </row>
    <row r="86" ht="51" spans="1:12">
      <c r="A86" s="69">
        <v>84</v>
      </c>
      <c r="B86" s="70" t="s">
        <v>80</v>
      </c>
      <c r="C86" s="34" t="s">
        <v>71</v>
      </c>
      <c r="D86" s="71" t="s">
        <v>112</v>
      </c>
      <c r="E86" s="72"/>
      <c r="F86" s="73"/>
      <c r="G86" s="72"/>
      <c r="H86" s="72"/>
      <c r="I86" s="72"/>
      <c r="J86" s="72"/>
      <c r="K86" s="72"/>
      <c r="L86" s="71"/>
    </row>
    <row r="87" ht="38.25" spans="1:12">
      <c r="A87" s="69">
        <v>85</v>
      </c>
      <c r="B87" s="70" t="s">
        <v>80</v>
      </c>
      <c r="C87" s="34" t="s">
        <v>71</v>
      </c>
      <c r="D87" s="71" t="s">
        <v>113</v>
      </c>
      <c r="E87" s="72"/>
      <c r="F87" s="73"/>
      <c r="G87" s="72"/>
      <c r="H87" s="72"/>
      <c r="I87" s="72"/>
      <c r="J87" s="72"/>
      <c r="K87" s="72"/>
      <c r="L87" s="71"/>
    </row>
    <row r="88" ht="63.75" spans="1:12">
      <c r="A88" s="69">
        <v>86</v>
      </c>
      <c r="B88" s="70" t="s">
        <v>80</v>
      </c>
      <c r="C88" s="34" t="s">
        <v>76</v>
      </c>
      <c r="D88" s="71" t="s">
        <v>114</v>
      </c>
      <c r="E88" s="72"/>
      <c r="F88" s="73"/>
      <c r="G88" s="72"/>
      <c r="H88" s="72"/>
      <c r="I88" s="72"/>
      <c r="J88" s="72"/>
      <c r="K88" s="72"/>
      <c r="L88" s="71"/>
    </row>
    <row r="89" ht="51" spans="1:12">
      <c r="A89" s="69">
        <v>87</v>
      </c>
      <c r="B89" s="70" t="s">
        <v>80</v>
      </c>
      <c r="C89" s="34" t="s">
        <v>76</v>
      </c>
      <c r="D89" s="71" t="s">
        <v>115</v>
      </c>
      <c r="E89" s="72"/>
      <c r="F89" s="73"/>
      <c r="G89" s="72"/>
      <c r="H89" s="72"/>
      <c r="I89" s="72"/>
      <c r="J89" s="72"/>
      <c r="K89" s="72"/>
      <c r="L89" s="71"/>
    </row>
    <row r="90" ht="38.25" spans="1:12">
      <c r="A90" s="69">
        <v>88</v>
      </c>
      <c r="B90" s="70" t="s">
        <v>80</v>
      </c>
      <c r="C90" s="34" t="s">
        <v>76</v>
      </c>
      <c r="D90" s="71" t="s">
        <v>116</v>
      </c>
      <c r="E90" s="72"/>
      <c r="F90" s="73"/>
      <c r="G90" s="72"/>
      <c r="H90" s="72"/>
      <c r="I90" s="72"/>
      <c r="J90" s="72"/>
      <c r="K90" s="72"/>
      <c r="L90" s="71"/>
    </row>
    <row r="91" spans="1:3">
      <c r="A91" s="40"/>
      <c r="C91" s="40"/>
    </row>
    <row r="92" spans="1:3">
      <c r="A92" s="40"/>
      <c r="C92" s="40"/>
    </row>
    <row r="93" spans="1:3">
      <c r="A93" s="40"/>
      <c r="C93" s="40"/>
    </row>
    <row r="94" spans="1:3">
      <c r="A94" s="40"/>
      <c r="C94" s="40"/>
    </row>
    <row r="95" spans="1:3">
      <c r="A95" s="40"/>
      <c r="C95" s="40"/>
    </row>
    <row r="96" spans="1:3">
      <c r="A96" s="40"/>
      <c r="C96" s="40"/>
    </row>
    <row r="97" s="40" customFormat="1" spans="4:4">
      <c r="D97" s="59"/>
    </row>
    <row r="98" s="40" customFormat="1" spans="4:4">
      <c r="D98" s="59"/>
    </row>
    <row r="99" s="40" customFormat="1" spans="4:4">
      <c r="D99" s="59"/>
    </row>
    <row r="100" s="40" customFormat="1" spans="4:4">
      <c r="D100" s="59"/>
    </row>
    <row r="101" s="40" customFormat="1" spans="4:4">
      <c r="D101" s="59"/>
    </row>
    <row r="102" s="40" customFormat="1" spans="4:4">
      <c r="D102" s="59"/>
    </row>
    <row r="103" s="40" customFormat="1" spans="4:4">
      <c r="D103" s="59"/>
    </row>
    <row r="104" s="40" customFormat="1" spans="4:4">
      <c r="D104" s="59"/>
    </row>
    <row r="105" s="40" customFormat="1" spans="4:4">
      <c r="D105" s="59"/>
    </row>
    <row r="106" s="40" customFormat="1" spans="4:4">
      <c r="D106" s="59"/>
    </row>
    <row r="107" s="40" customFormat="1" spans="4:4">
      <c r="D107" s="59"/>
    </row>
  </sheetData>
  <mergeCells count="1">
    <mergeCell ref="A1:L1"/>
  </mergeCells>
  <dataValidations count="4">
    <dataValidation type="list" allowBlank="1" showInputMessage="1" showErrorMessage="1" sqref="E3:E90">
      <formula1>"Yes, No"</formula1>
    </dataValidation>
    <dataValidation type="list" allowBlank="1" showInputMessage="1" showErrorMessage="1" sqref="G3:G90">
      <formula1>'[2]#REF'!$B$2:$B$6</formula1>
    </dataValidation>
    <dataValidation type="list" allowBlank="1" showInputMessage="1" showErrorMessage="1" sqref="H3:H90">
      <formula1>'[2]#REF'!$C$2:$C$6</formula1>
    </dataValidation>
    <dataValidation type="list" allowBlank="1" showInputMessage="1" showErrorMessage="1" sqref="I3:I90">
      <formula1>'[2]#REF'!$D$2:$D$5</formula1>
    </dataValidation>
  </dataValidations>
  <pageMargins left="0.7" right="0.7" top="0.75" bottom="0.75" header="0.3" footer="0.3"/>
  <pageSetup paperSize="1" scale="35" fitToHeight="0" orientation="landscape" horizontalDpi="1200" verticalDpi="1200"/>
  <headerFooter/>
  <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66:L144"/>
  <sheetViews>
    <sheetView tabSelected="1" zoomScale="70" zoomScaleNormal="70" workbookViewId="0">
      <selection activeCell="O48" sqref="O48"/>
    </sheetView>
  </sheetViews>
  <sheetFormatPr defaultColWidth="9" defaultRowHeight="15"/>
  <cols>
    <col min="1" max="1" width="34" customWidth="1"/>
    <col min="2" max="2" width="16.4285714285714" style="1" customWidth="1"/>
    <col min="3" max="3" width="14.4285714285714" customWidth="1"/>
    <col min="4" max="5" width="21" customWidth="1"/>
    <col min="6" max="6" width="27.7142857142857" customWidth="1"/>
    <col min="7" max="7" width="21" customWidth="1"/>
    <col min="8" max="8" width="17.2857142857143" customWidth="1"/>
    <col min="11" max="11" width="11" customWidth="1"/>
  </cols>
  <sheetData>
    <row r="66" ht="18.75" spans="1:9">
      <c r="A66" s="2" t="s">
        <v>117</v>
      </c>
      <c r="B66" s="3"/>
      <c r="C66" s="4"/>
      <c r="D66" s="4"/>
      <c r="E66" s="4"/>
      <c r="F66" s="4"/>
      <c r="G66" s="4"/>
      <c r="H66" s="4"/>
      <c r="I66" s="41"/>
    </row>
    <row r="67" spans="1:9">
      <c r="A67" s="5"/>
      <c r="B67" s="6" t="s">
        <v>118</v>
      </c>
      <c r="C67" s="7"/>
      <c r="D67" s="7"/>
      <c r="E67" s="7" t="s">
        <v>1</v>
      </c>
      <c r="F67" s="7"/>
      <c r="G67" s="7"/>
      <c r="H67" s="8"/>
      <c r="I67" s="42"/>
    </row>
    <row r="68" spans="1:9">
      <c r="A68" s="9" t="s">
        <v>119</v>
      </c>
      <c r="B68" s="10" t="s">
        <v>5</v>
      </c>
      <c r="C68" s="11" t="s">
        <v>9</v>
      </c>
      <c r="D68" s="11" t="s">
        <v>12</v>
      </c>
      <c r="E68" s="12" t="s">
        <v>5</v>
      </c>
      <c r="F68" s="11" t="s">
        <v>9</v>
      </c>
      <c r="G68" s="11" t="s">
        <v>12</v>
      </c>
      <c r="H68" s="11" t="s">
        <v>120</v>
      </c>
      <c r="I68" s="43" t="s">
        <v>121</v>
      </c>
    </row>
    <row r="69" spans="1:9">
      <c r="A69" s="13" t="s">
        <v>122</v>
      </c>
      <c r="B69" s="14">
        <f>E69*0</f>
        <v>0</v>
      </c>
      <c r="C69" s="11">
        <f>F69*1</f>
        <v>0</v>
      </c>
      <c r="D69" s="11">
        <f>G69*2</f>
        <v>0</v>
      </c>
      <c r="E69" s="12">
        <v>0</v>
      </c>
      <c r="F69" s="12">
        <v>0</v>
      </c>
      <c r="G69" s="12">
        <v>0</v>
      </c>
      <c r="H69" s="15">
        <f>SUM(B69:D69)</f>
        <v>0</v>
      </c>
      <c r="I69" s="44">
        <f>27*2</f>
        <v>54</v>
      </c>
    </row>
    <row r="70" spans="1:9">
      <c r="A70" s="13" t="s">
        <v>80</v>
      </c>
      <c r="B70" s="14">
        <f>E70*0</f>
        <v>0</v>
      </c>
      <c r="C70" s="11">
        <f>F70*1</f>
        <v>0</v>
      </c>
      <c r="D70" s="11">
        <f>G70*2</f>
        <v>0</v>
      </c>
      <c r="E70" s="12">
        <f>COUNTIFS(Table1[Section],"EIR",Table1[Capacity ],"No capacity")</f>
        <v>0</v>
      </c>
      <c r="F70" s="12">
        <f>COUNTIFS(Table1[Section],"EIR",Table1[Capacity ],"Partial capacity")</f>
        <v>0</v>
      </c>
      <c r="G70" s="12">
        <f>COUNTIFS(Table1[Section],"EIR",Table1[Capacity ],"Implemented capacity")</f>
        <v>0</v>
      </c>
      <c r="H70" s="15">
        <f>SUM(B70:D70)</f>
        <v>0</v>
      </c>
      <c r="I70" s="44">
        <f>44*2</f>
        <v>88</v>
      </c>
    </row>
    <row r="71" spans="1:9">
      <c r="A71" s="13" t="s">
        <v>26</v>
      </c>
      <c r="B71" s="14">
        <f>E71*0</f>
        <v>0</v>
      </c>
      <c r="C71" s="11">
        <f>F71*1</f>
        <v>0</v>
      </c>
      <c r="D71" s="11">
        <f>G71*2</f>
        <v>0</v>
      </c>
      <c r="E71" s="12">
        <f>COUNTIFS(Table1[Section],"EMU",Table1[Capacity ],"No capacity")</f>
        <v>0</v>
      </c>
      <c r="F71" s="12">
        <f>COUNTIFS(Table1[Section],"EMU",Table1[Capacity ],"Partial capacity")</f>
        <v>0</v>
      </c>
      <c r="G71" s="12">
        <f>COUNTIFS(Table1[Section],"EMU",Table1[Capacity ],"Implemented capacity")</f>
        <v>0</v>
      </c>
      <c r="H71" s="15">
        <f>SUM(B71:D71)</f>
        <v>0</v>
      </c>
      <c r="I71" s="44">
        <f>44*2</f>
        <v>88</v>
      </c>
    </row>
    <row r="72" spans="1:9">
      <c r="A72" s="16" t="s">
        <v>123</v>
      </c>
      <c r="B72" s="14">
        <f>E72*0</f>
        <v>0</v>
      </c>
      <c r="C72" s="11">
        <f>F72*1</f>
        <v>0</v>
      </c>
      <c r="D72" s="11">
        <f>G72*2</f>
        <v>0</v>
      </c>
      <c r="E72" s="12">
        <f>COUNTIFS(Table1[Section],"COU/COUSP/IMS",Table1[Capacity ],"No capacity")</f>
        <v>0</v>
      </c>
      <c r="F72" s="12">
        <f>COUNTIFS(Table1[Section],"COU/COUSP/IMS",Table1[Capacity ],"Partial capacity")</f>
        <v>0</v>
      </c>
      <c r="G72" s="12">
        <f>COUNTIFS(Table1[Section],"COU/COUSP/IMS",Table1[Capacity ],"Implemented capacity")</f>
        <v>0</v>
      </c>
      <c r="H72" s="17">
        <f>SUM(B72:D72)</f>
        <v>0</v>
      </c>
      <c r="I72" s="45">
        <f>20*2</f>
        <v>40</v>
      </c>
    </row>
    <row r="73" spans="1:9">
      <c r="A73" s="13"/>
      <c r="B73" s="6" t="s">
        <v>124</v>
      </c>
      <c r="C73" s="7"/>
      <c r="D73" s="7"/>
      <c r="E73" s="7" t="s">
        <v>125</v>
      </c>
      <c r="F73" s="7"/>
      <c r="G73" s="7"/>
      <c r="H73" s="18"/>
      <c r="I73" s="44"/>
    </row>
    <row r="74" spans="1:9">
      <c r="A74" s="9" t="s">
        <v>119</v>
      </c>
      <c r="B74" s="10" t="s">
        <v>5</v>
      </c>
      <c r="C74" s="11" t="s">
        <v>9</v>
      </c>
      <c r="D74" s="11" t="s">
        <v>12</v>
      </c>
      <c r="E74" s="12" t="s">
        <v>6</v>
      </c>
      <c r="F74" s="11" t="s">
        <v>10</v>
      </c>
      <c r="G74" s="11" t="s">
        <v>13</v>
      </c>
      <c r="H74" s="11" t="s">
        <v>120</v>
      </c>
      <c r="I74" s="43" t="s">
        <v>121</v>
      </c>
    </row>
    <row r="75" spans="1:9">
      <c r="A75" s="13" t="s">
        <v>122</v>
      </c>
      <c r="B75" s="14">
        <f>E75*0</f>
        <v>0</v>
      </c>
      <c r="C75" s="11">
        <f>F75*1</f>
        <v>0</v>
      </c>
      <c r="D75" s="11">
        <f>G75*2</f>
        <v>0</v>
      </c>
      <c r="E75" s="12">
        <v>0</v>
      </c>
      <c r="F75" s="12">
        <v>0</v>
      </c>
      <c r="G75" s="12">
        <v>0</v>
      </c>
      <c r="H75" s="15">
        <f>SUM(B75:D75)</f>
        <v>0</v>
      </c>
      <c r="I75" s="44">
        <f>27*2</f>
        <v>54</v>
      </c>
    </row>
    <row r="76" spans="1:9">
      <c r="A76" s="13" t="s">
        <v>80</v>
      </c>
      <c r="B76" s="14">
        <f>E76*0</f>
        <v>0</v>
      </c>
      <c r="C76" s="11">
        <f>F76*1</f>
        <v>0</v>
      </c>
      <c r="D76" s="11">
        <f>G76*2</f>
        <v>0</v>
      </c>
      <c r="E76" s="12">
        <f>COUNTIFS(Table1[Section],"EIR",Table1[Operational Status ],"Not operational")</f>
        <v>0</v>
      </c>
      <c r="F76" s="12">
        <f>COUNTIFS(Table1[Section],"EIR",Table1[Operational Status ],"Limited operational functions")</f>
        <v>0</v>
      </c>
      <c r="G76" s="12">
        <f>COUNTIFS(Table1[Section],"EIR",Table1[Operational Status ],"Fully operational")</f>
        <v>0</v>
      </c>
      <c r="H76" s="15">
        <f>SUM(B76:D76)</f>
        <v>0</v>
      </c>
      <c r="I76" s="44">
        <f>44*2</f>
        <v>88</v>
      </c>
    </row>
    <row r="77" spans="1:9">
      <c r="A77" s="13" t="s">
        <v>26</v>
      </c>
      <c r="B77" s="14">
        <f>E77*0</f>
        <v>0</v>
      </c>
      <c r="C77" s="11">
        <f>F77*1</f>
        <v>0</v>
      </c>
      <c r="D77" s="11">
        <f>G77*2</f>
        <v>0</v>
      </c>
      <c r="E77" s="12">
        <f>COUNTIFS(Table1[Section],"EMU",Table1[Operational Status ],"Not operational")</f>
        <v>0</v>
      </c>
      <c r="F77" s="12">
        <f>COUNTIFS(Table1[Section],"EMU",Table1[Operational Status ],"Limited operational functions")</f>
        <v>0</v>
      </c>
      <c r="G77" s="12">
        <f>COUNTIFS(Table1[Section],"EMU",Table1[Operational Status ],"Fully operational")</f>
        <v>0</v>
      </c>
      <c r="H77" s="15">
        <f>SUM(B77:D77)</f>
        <v>0</v>
      </c>
      <c r="I77" s="44">
        <f>44*2</f>
        <v>88</v>
      </c>
    </row>
    <row r="78" spans="1:9">
      <c r="A78" s="16" t="s">
        <v>123</v>
      </c>
      <c r="B78" s="14">
        <f>E78*0</f>
        <v>0</v>
      </c>
      <c r="C78" s="11">
        <f>F78*1</f>
        <v>0</v>
      </c>
      <c r="D78" s="11">
        <f>G78*2</f>
        <v>0</v>
      </c>
      <c r="E78" s="12">
        <f>COUNTIFS(Table1[Section],"COU/COUSP/IMS",Table1[Operational Status ],"Not operational")</f>
        <v>0</v>
      </c>
      <c r="F78" s="12">
        <f>COUNTIFS(Table1[Section],"COU/COUSP/IMS",Table1[Operational Status ],"Limited operational functions")</f>
        <v>0</v>
      </c>
      <c r="G78" s="12">
        <f>COUNTIFS(Table1[Section],"COU/COUSP/IMS",Table1[Operational Status ],"Fully operational")</f>
        <v>0</v>
      </c>
      <c r="H78" s="17">
        <f>SUM(B78:D78)</f>
        <v>0</v>
      </c>
      <c r="I78" s="45">
        <f>20*2</f>
        <v>40</v>
      </c>
    </row>
    <row r="79" spans="1:9">
      <c r="A79" s="13"/>
      <c r="B79" s="19" t="s">
        <v>1</v>
      </c>
      <c r="C79" s="20" t="s">
        <v>125</v>
      </c>
      <c r="D79" s="18"/>
      <c r="E79" s="18"/>
      <c r="F79" s="18"/>
      <c r="G79" s="18"/>
      <c r="H79" s="18"/>
      <c r="I79" s="44"/>
    </row>
    <row r="80" spans="1:9">
      <c r="A80" s="13" t="s">
        <v>126</v>
      </c>
      <c r="B80" s="21">
        <f>H69/I69</f>
        <v>0</v>
      </c>
      <c r="C80" s="22">
        <f>H75/I75</f>
        <v>0</v>
      </c>
      <c r="D80" s="18"/>
      <c r="E80" s="18"/>
      <c r="F80" s="18"/>
      <c r="G80" s="18"/>
      <c r="H80" s="18"/>
      <c r="I80" s="44"/>
    </row>
    <row r="81" spans="1:9">
      <c r="A81" s="13" t="s">
        <v>127</v>
      </c>
      <c r="B81" s="21">
        <f>H70/I70</f>
        <v>0</v>
      </c>
      <c r="C81" s="22">
        <f>H76/I76</f>
        <v>0</v>
      </c>
      <c r="D81" s="18"/>
      <c r="E81" s="18"/>
      <c r="F81" s="18"/>
      <c r="G81" s="18"/>
      <c r="H81" s="18"/>
      <c r="I81" s="44"/>
    </row>
    <row r="82" spans="1:9">
      <c r="A82" s="13" t="s">
        <v>128</v>
      </c>
      <c r="B82" s="21">
        <f>H71/I71</f>
        <v>0</v>
      </c>
      <c r="C82" s="22">
        <f>H77/I77</f>
        <v>0</v>
      </c>
      <c r="D82" s="18"/>
      <c r="E82" s="18"/>
      <c r="F82" s="18"/>
      <c r="G82" s="18"/>
      <c r="H82" s="18"/>
      <c r="I82" s="44"/>
    </row>
    <row r="83" spans="1:9">
      <c r="A83" s="23" t="s">
        <v>129</v>
      </c>
      <c r="B83" s="24">
        <f>H72/I72</f>
        <v>0</v>
      </c>
      <c r="C83" s="25">
        <f>H78/I78</f>
        <v>0</v>
      </c>
      <c r="D83" s="26"/>
      <c r="E83" s="26"/>
      <c r="F83" s="26"/>
      <c r="G83" s="26"/>
      <c r="H83" s="26"/>
      <c r="I83" s="46"/>
    </row>
    <row r="86" ht="19.5" spans="1:11">
      <c r="A86" s="27" t="s">
        <v>130</v>
      </c>
      <c r="B86" s="28"/>
      <c r="C86" s="29"/>
      <c r="D86" s="29"/>
      <c r="E86" s="29"/>
      <c r="F86" s="29"/>
      <c r="G86" s="29"/>
      <c r="H86" s="29"/>
      <c r="I86" s="29"/>
      <c r="J86" s="29"/>
      <c r="K86" s="47"/>
    </row>
    <row r="87" spans="1:11">
      <c r="A87" s="30"/>
      <c r="C87" s="31" t="s">
        <v>118</v>
      </c>
      <c r="D87" s="31"/>
      <c r="E87" s="31"/>
      <c r="F87" s="31" t="s">
        <v>1</v>
      </c>
      <c r="G87" s="31"/>
      <c r="H87" s="31"/>
      <c r="I87" s="31" t="s">
        <v>131</v>
      </c>
      <c r="J87" s="31"/>
      <c r="K87" s="48"/>
    </row>
    <row r="88" spans="1:11">
      <c r="A88" s="9" t="s">
        <v>19</v>
      </c>
      <c r="B88" s="32" t="s">
        <v>20</v>
      </c>
      <c r="C88" s="11" t="s">
        <v>5</v>
      </c>
      <c r="D88" s="11" t="s">
        <v>9</v>
      </c>
      <c r="E88" s="11" t="s">
        <v>12</v>
      </c>
      <c r="F88" s="11" t="s">
        <v>5</v>
      </c>
      <c r="G88" s="11" t="s">
        <v>9</v>
      </c>
      <c r="H88" s="11" t="s">
        <v>12</v>
      </c>
      <c r="I88" s="11" t="s">
        <v>120</v>
      </c>
      <c r="J88" s="11" t="s">
        <v>121</v>
      </c>
      <c r="K88" s="43" t="s">
        <v>132</v>
      </c>
    </row>
    <row r="89" spans="1:11">
      <c r="A89" s="33" t="s">
        <v>126</v>
      </c>
      <c r="B89" s="34" t="s">
        <v>133</v>
      </c>
      <c r="C89">
        <f>F89*0</f>
        <v>0</v>
      </c>
      <c r="D89">
        <f>G89*1</f>
        <v>0</v>
      </c>
      <c r="E89">
        <f>H89*2</f>
        <v>0</v>
      </c>
      <c r="F89">
        <v>0</v>
      </c>
      <c r="G89">
        <v>0</v>
      </c>
      <c r="H89">
        <v>0</v>
      </c>
      <c r="I89">
        <f>SUM(C89:E89)</f>
        <v>0</v>
      </c>
      <c r="J89">
        <f>12*2</f>
        <v>24</v>
      </c>
      <c r="K89" s="49">
        <f t="shared" ref="K89:K114" si="0">I89/J89</f>
        <v>0</v>
      </c>
    </row>
    <row r="90" ht="54" customHeight="1" spans="1:11">
      <c r="A90" s="30"/>
      <c r="B90" s="34" t="s">
        <v>134</v>
      </c>
      <c r="C90">
        <f t="shared" ref="C90:C113" si="1">F90*0</f>
        <v>0</v>
      </c>
      <c r="D90">
        <f t="shared" ref="D90:D113" si="2">G90*1</f>
        <v>0</v>
      </c>
      <c r="E90">
        <f t="shared" ref="E90:E113" si="3">H90*2</f>
        <v>0</v>
      </c>
      <c r="F90">
        <v>0</v>
      </c>
      <c r="G90">
        <v>0</v>
      </c>
      <c r="H90">
        <v>0</v>
      </c>
      <c r="I90">
        <f t="shared" ref="I90:I114" si="4">SUM(C90:E90)</f>
        <v>0</v>
      </c>
      <c r="J90">
        <f>8*2</f>
        <v>16</v>
      </c>
      <c r="K90" s="49">
        <f t="shared" si="0"/>
        <v>0</v>
      </c>
    </row>
    <row r="91" spans="1:11">
      <c r="A91" s="30"/>
      <c r="B91" s="34" t="s">
        <v>135</v>
      </c>
      <c r="C91">
        <f t="shared" si="1"/>
        <v>0</v>
      </c>
      <c r="D91">
        <f t="shared" si="2"/>
        <v>0</v>
      </c>
      <c r="E91">
        <f t="shared" si="3"/>
        <v>0</v>
      </c>
      <c r="F91">
        <v>0</v>
      </c>
      <c r="G91">
        <v>0</v>
      </c>
      <c r="H91">
        <v>0</v>
      </c>
      <c r="I91">
        <f t="shared" si="4"/>
        <v>0</v>
      </c>
      <c r="J91">
        <f>2*2</f>
        <v>4</v>
      </c>
      <c r="K91" s="49">
        <f t="shared" si="0"/>
        <v>0</v>
      </c>
    </row>
    <row r="92" spans="1:11">
      <c r="A92" s="30"/>
      <c r="B92" s="34" t="s">
        <v>136</v>
      </c>
      <c r="C92">
        <f t="shared" ref="C92" si="5">F92*0</f>
        <v>0</v>
      </c>
      <c r="D92">
        <f t="shared" ref="D92" si="6">G92*1</f>
        <v>0</v>
      </c>
      <c r="E92">
        <f t="shared" ref="E92" si="7">H92*2</f>
        <v>0</v>
      </c>
      <c r="F92">
        <v>0</v>
      </c>
      <c r="G92">
        <v>0</v>
      </c>
      <c r="H92">
        <v>0</v>
      </c>
      <c r="I92">
        <f t="shared" ref="I92" si="8">SUM(C92:E92)</f>
        <v>0</v>
      </c>
      <c r="J92">
        <f>2*2</f>
        <v>4</v>
      </c>
      <c r="K92" s="49">
        <f t="shared" si="0"/>
        <v>0</v>
      </c>
    </row>
    <row r="93" ht="25.5" spans="1:11">
      <c r="A93" s="30"/>
      <c r="B93" s="34" t="s">
        <v>76</v>
      </c>
      <c r="C93">
        <f t="shared" si="1"/>
        <v>0</v>
      </c>
      <c r="D93">
        <f t="shared" si="2"/>
        <v>0</v>
      </c>
      <c r="E93">
        <f t="shared" si="3"/>
        <v>0</v>
      </c>
      <c r="F93">
        <v>0</v>
      </c>
      <c r="G93">
        <v>0</v>
      </c>
      <c r="H93">
        <v>0</v>
      </c>
      <c r="I93">
        <f t="shared" si="4"/>
        <v>0</v>
      </c>
      <c r="J93">
        <f>3*2</f>
        <v>6</v>
      </c>
      <c r="K93" s="49">
        <f t="shared" si="0"/>
        <v>0</v>
      </c>
    </row>
    <row r="94" spans="1:11">
      <c r="A94" s="30" t="s">
        <v>137</v>
      </c>
      <c r="B94" s="34" t="s">
        <v>138</v>
      </c>
      <c r="C94">
        <f t="shared" si="1"/>
        <v>0</v>
      </c>
      <c r="D94">
        <f t="shared" si="2"/>
        <v>0</v>
      </c>
      <c r="E94">
        <f t="shared" si="3"/>
        <v>0</v>
      </c>
      <c r="F94">
        <f>COUNTIFS(Table1[Section],"COU/COUSP/IMS",Table1[SubSection],"IMS-Mgmt",Table1[Capacity ],"No capacity")</f>
        <v>0</v>
      </c>
      <c r="G94">
        <f>COUNTIFS(Table1[Section],"COU/COUSP/IMS",Table1[SubSection],"IMS-Mgmt",Table1[Capacity ],"Partial capacity")</f>
        <v>0</v>
      </c>
      <c r="H94">
        <f>COUNTIFS(Table1[Section],"COU/COUSP/IMS",Table1[SubSection],"IMS-Mgmt",Table1[Capacity ],"Implemented capacity")</f>
        <v>0</v>
      </c>
      <c r="I94">
        <f t="shared" si="4"/>
        <v>0</v>
      </c>
      <c r="J94">
        <f t="shared" ref="J94" si="9">2*2</f>
        <v>4</v>
      </c>
      <c r="K94" s="49">
        <f t="shared" si="0"/>
        <v>0</v>
      </c>
    </row>
    <row r="95" spans="1:11">
      <c r="A95" s="30"/>
      <c r="B95" s="34" t="s">
        <v>139</v>
      </c>
      <c r="C95">
        <f t="shared" si="1"/>
        <v>0</v>
      </c>
      <c r="D95">
        <f t="shared" si="2"/>
        <v>0</v>
      </c>
      <c r="E95">
        <f t="shared" si="3"/>
        <v>0</v>
      </c>
      <c r="F95">
        <f>COUNTIFS(Table1[Section],"COU/COUSP/IMS",Table1[SubSection],"IMS-Staff/HR",Table1[Capacity ],"No capacity")</f>
        <v>0</v>
      </c>
      <c r="G95">
        <f>COUNTIFS(Table1[Section],"COU/COUSP/IMS",Table1[SubSection],"IMS-Staff/HR",Table1[Capacity ],"Partial capacity")</f>
        <v>0</v>
      </c>
      <c r="H95">
        <f>COUNTIFS(Table1[Section],"COU/COUSP/IMS",Table1[SubSection],"IMS-Staff/HR",Table1[Capacity ],"Implemented capacity")</f>
        <v>0</v>
      </c>
      <c r="I95">
        <f t="shared" si="4"/>
        <v>0</v>
      </c>
      <c r="J95">
        <f>6*2</f>
        <v>12</v>
      </c>
      <c r="K95" s="49">
        <f t="shared" si="0"/>
        <v>0</v>
      </c>
    </row>
    <row r="96" spans="1:11">
      <c r="A96" s="30" t="s">
        <v>140</v>
      </c>
      <c r="B96" s="34" t="s">
        <v>140</v>
      </c>
      <c r="C96">
        <f t="shared" si="1"/>
        <v>0</v>
      </c>
      <c r="D96">
        <f t="shared" si="2"/>
        <v>0</v>
      </c>
      <c r="E96">
        <f t="shared" si="3"/>
        <v>0</v>
      </c>
      <c r="F96">
        <f>COUNTIFS(Table1[Section],"COU/COUSP/IMS",Table1[SubSection],"COU/COUSP",Table1[Capacity ],"No capacity")</f>
        <v>0</v>
      </c>
      <c r="G96">
        <f>COUNTIFS(Table1[Section],"COU/COUSP/IMS",Table1[SubSection],"COU/COUSP",Table1[Capacity ],"Partial capacity")</f>
        <v>0</v>
      </c>
      <c r="H96">
        <f>COUNTIFS(Table1[Section],"COU/COUSP/IMS",Table1[SubSection],"COU/COUSP",Table1[Capacity ],"Implemented capacity")</f>
        <v>0</v>
      </c>
      <c r="I96">
        <f t="shared" si="4"/>
        <v>0</v>
      </c>
      <c r="J96">
        <f>12*2</f>
        <v>24</v>
      </c>
      <c r="K96" s="49">
        <f t="shared" si="0"/>
        <v>0</v>
      </c>
    </row>
    <row r="97" spans="1:11">
      <c r="A97" s="30" t="s">
        <v>26</v>
      </c>
      <c r="B97" s="34" t="s">
        <v>133</v>
      </c>
      <c r="C97">
        <f t="shared" si="1"/>
        <v>0</v>
      </c>
      <c r="D97">
        <f t="shared" si="2"/>
        <v>0</v>
      </c>
      <c r="E97">
        <f t="shared" si="3"/>
        <v>0</v>
      </c>
      <c r="F97">
        <f>COUNTIFS(Table1[Section],"EMU",Table1[SubSection],"Plans and Processes",Table1[Capacity ],"No capacity")</f>
        <v>0</v>
      </c>
      <c r="G97">
        <f>COUNTIFS(Table1[Section],"EMU",Table1[SubSection],"Plans and Processes",Table1[Capacity ],"Partial capacity")</f>
        <v>0</v>
      </c>
      <c r="H97">
        <f>COUNTIFS(Table1[Section],"EMU",Table1[SubSection],"Plans and Processes",Table1[Capacity ],"Implemented capacity")</f>
        <v>0</v>
      </c>
      <c r="I97">
        <f t="shared" si="4"/>
        <v>0</v>
      </c>
      <c r="J97">
        <f>8*2</f>
        <v>16</v>
      </c>
      <c r="K97" s="49">
        <f t="shared" si="0"/>
        <v>0</v>
      </c>
    </row>
    <row r="98" ht="25.5" spans="1:11">
      <c r="A98" s="30"/>
      <c r="B98" s="34" t="s">
        <v>36</v>
      </c>
      <c r="C98">
        <f t="shared" si="1"/>
        <v>0</v>
      </c>
      <c r="D98">
        <f t="shared" si="2"/>
        <v>0</v>
      </c>
      <c r="E98">
        <f t="shared" si="3"/>
        <v>0</v>
      </c>
      <c r="F98">
        <f>COUNTIFS(Table1[Section],"EMU",Table1[SubSection],"Administrative Considerations",Table1[Capacity ],"No capacity")</f>
        <v>0</v>
      </c>
      <c r="G98">
        <f>COUNTIFS(Table1[Section],"EMU",Table1[SubSection],"Administrative Considerations",Table1[Capacity ],"Partial capacity")</f>
        <v>0</v>
      </c>
      <c r="H98">
        <f>COUNTIFS(Table1[Section],"EMU",Table1[SubSection],"Administrative Considerations",Table1[Capacity ],"Implemented capacity")</f>
        <v>0</v>
      </c>
      <c r="I98">
        <f t="shared" si="4"/>
        <v>0</v>
      </c>
      <c r="J98">
        <f>7*2</f>
        <v>14</v>
      </c>
      <c r="K98" s="49">
        <f t="shared" si="0"/>
        <v>0</v>
      </c>
    </row>
    <row r="99" ht="38.25" spans="1:11">
      <c r="A99" s="30"/>
      <c r="B99" s="34" t="s">
        <v>44</v>
      </c>
      <c r="C99">
        <f t="shared" si="1"/>
        <v>0</v>
      </c>
      <c r="D99">
        <f t="shared" si="2"/>
        <v>0</v>
      </c>
      <c r="E99">
        <f t="shared" si="3"/>
        <v>0</v>
      </c>
      <c r="F99">
        <f>COUNTIFS(Table1[Section],"EMU",Table1[SubSection],"Staffing and Rostering",Table1[Capacity ],"No capacity")</f>
        <v>0</v>
      </c>
      <c r="G99">
        <f>COUNTIFS(Table1[Section],"EMU",Table1[SubSection],"Staffing and Rostering",Table1[Capacity ],"Partial capacity")</f>
        <v>0</v>
      </c>
      <c r="H99">
        <f>COUNTIFS(Table1[Section],"EMU",Table1[SubSection],"Staffing and Rostering",Table1[Capacity ],"Implemented capacity")</f>
        <v>0</v>
      </c>
      <c r="I99">
        <f t="shared" si="4"/>
        <v>0</v>
      </c>
      <c r="J99">
        <f>5*2</f>
        <v>10</v>
      </c>
      <c r="K99" s="49">
        <f t="shared" si="0"/>
        <v>0</v>
      </c>
    </row>
    <row r="100" ht="25.5" spans="1:11">
      <c r="A100" s="30"/>
      <c r="B100" s="34" t="s">
        <v>50</v>
      </c>
      <c r="C100">
        <f t="shared" ref="C100:C105" si="10">F100*0</f>
        <v>0</v>
      </c>
      <c r="D100">
        <f t="shared" ref="D100:D105" si="11">G100*1</f>
        <v>0</v>
      </c>
      <c r="E100">
        <f t="shared" ref="E100:E105" si="12">H100*2</f>
        <v>0</v>
      </c>
      <c r="F100">
        <f>COUNTIFS(Table1[Section],"EMU",Table1[SubSection],"Training Program",Table1[Capacity ],"No capacity")</f>
        <v>0</v>
      </c>
      <c r="G100">
        <f>COUNTIFS(Table1[Section],"EMU",Table1[SubSection],"Training Program",Table1[Capacity ],"Partial capacity")</f>
        <v>0</v>
      </c>
      <c r="H100">
        <f>COUNTIFS(Table1[Section],"EMU",Table1[SubSection],"Training Program",Table1[Capacity ],"Implemented capacity")</f>
        <v>0</v>
      </c>
      <c r="I100">
        <f t="shared" si="4"/>
        <v>0</v>
      </c>
      <c r="J100">
        <f>4*2</f>
        <v>8</v>
      </c>
      <c r="K100" s="49">
        <f t="shared" si="0"/>
        <v>0</v>
      </c>
    </row>
    <row r="101" ht="25.5" spans="1:11">
      <c r="A101" s="30"/>
      <c r="B101" s="34" t="s">
        <v>55</v>
      </c>
      <c r="C101">
        <f t="shared" si="10"/>
        <v>0</v>
      </c>
      <c r="D101">
        <f t="shared" si="11"/>
        <v>0</v>
      </c>
      <c r="E101">
        <f t="shared" si="12"/>
        <v>0</v>
      </c>
      <c r="F101">
        <f>COUNTIFS(Table1[Section],"EMU",Table1[SubSection],"Activation and Pre-Deployment",Table1[Capacity ],"No capacity")</f>
        <v>0</v>
      </c>
      <c r="G101">
        <f>COUNTIFS(Table1[Section],"EMU",Table1[SubSection],"Activation and Pre-Deployment",Table1[Capacity ],"Partial capacity")</f>
        <v>0</v>
      </c>
      <c r="H101">
        <f>COUNTIFS(Table1[Section],"EMU",Table1[SubSection],"Activation and Pre-Deployment",Table1[Capacity ],"Implemented capacity")</f>
        <v>0</v>
      </c>
      <c r="I101">
        <f t="shared" si="4"/>
        <v>0</v>
      </c>
      <c r="J101">
        <f>4*2</f>
        <v>8</v>
      </c>
      <c r="K101" s="49">
        <f t="shared" si="0"/>
        <v>0</v>
      </c>
    </row>
    <row r="102" spans="1:11">
      <c r="A102" s="30"/>
      <c r="B102" s="34" t="s">
        <v>60</v>
      </c>
      <c r="C102">
        <f t="shared" si="10"/>
        <v>0</v>
      </c>
      <c r="D102">
        <f t="shared" si="11"/>
        <v>0</v>
      </c>
      <c r="E102">
        <f t="shared" si="12"/>
        <v>0</v>
      </c>
      <c r="F102">
        <f>COUNTIFS(Table1[Section],"EMU",Table1[SubSection],"Deployment",Table1[Capacity ],"No capacity")</f>
        <v>0</v>
      </c>
      <c r="G102">
        <f>COUNTIFS(Table1[Section],"EMU",Table1[SubSection],"Deployment",Table1[Capacity ],"Partial capacity")</f>
        <v>0</v>
      </c>
      <c r="H102">
        <f>COUNTIFS(Table1[Section],"EMU",Table1[SubSection],"Deployment",Table1[Capacity ],"Implemented capacity")</f>
        <v>0</v>
      </c>
      <c r="I102">
        <f t="shared" si="4"/>
        <v>0</v>
      </c>
      <c r="J102">
        <f>6*2</f>
        <v>12</v>
      </c>
      <c r="K102" s="49">
        <f t="shared" si="0"/>
        <v>0</v>
      </c>
    </row>
    <row r="103" spans="1:11">
      <c r="A103" s="30"/>
      <c r="B103" s="34" t="s">
        <v>67</v>
      </c>
      <c r="C103">
        <f t="shared" si="10"/>
        <v>0</v>
      </c>
      <c r="D103">
        <f t="shared" si="11"/>
        <v>0</v>
      </c>
      <c r="E103">
        <f t="shared" si="12"/>
        <v>0</v>
      </c>
      <c r="F103">
        <f>COUNTIFS(Table1[Section],"EMU",Table1[SubSection],"Post-Deployment",Table1[Capacity ],"No capacity")</f>
        <v>0</v>
      </c>
      <c r="G103">
        <f>COUNTIFS(Table1[Section],"EMU",Table1[SubSection],"Post-Deployment",Table1[Capacity ],"Partial capacity")</f>
        <v>0</v>
      </c>
      <c r="H103">
        <f>COUNTIFS(Table1[Section],"EMU",Table1[SubSection],"Post-Deployment",Table1[Capacity ],"Implemented capacity")</f>
        <v>0</v>
      </c>
      <c r="I103">
        <f t="shared" si="4"/>
        <v>0</v>
      </c>
      <c r="J103">
        <f>3*2</f>
        <v>6</v>
      </c>
      <c r="K103" s="49">
        <f t="shared" si="0"/>
        <v>0</v>
      </c>
    </row>
    <row r="104" spans="1:11">
      <c r="A104" s="30"/>
      <c r="B104" s="34" t="s">
        <v>71</v>
      </c>
      <c r="C104">
        <f t="shared" si="10"/>
        <v>0</v>
      </c>
      <c r="D104">
        <f t="shared" si="11"/>
        <v>0</v>
      </c>
      <c r="E104">
        <f t="shared" si="12"/>
        <v>0</v>
      </c>
      <c r="F104">
        <f>COUNTIFS(Table1[Section],"EMU",Table1[SubSection],"Monitoring and Evaluation",Table1[Capacity ],"No capacity")</f>
        <v>0</v>
      </c>
      <c r="G104">
        <f>COUNTIFS(Table1[Section],"EMU",Table1[SubSection],"Monitoring and Evaluation",Table1[Capacity ],"Partial capacity")</f>
        <v>0</v>
      </c>
      <c r="H104">
        <f>COUNTIFS(Table1[Section],"EMU",Table1[SubSection],"Monitoring and Evaluation",Table1[Capacity ],"Implemented capacity")</f>
        <v>0</v>
      </c>
      <c r="I104">
        <f t="shared" si="4"/>
        <v>0</v>
      </c>
      <c r="J104">
        <f>4*2</f>
        <v>8</v>
      </c>
      <c r="K104" s="49">
        <f t="shared" si="0"/>
        <v>0</v>
      </c>
    </row>
    <row r="105" ht="25.5" spans="1:11">
      <c r="A105" s="30"/>
      <c r="B105" s="34" t="s">
        <v>76</v>
      </c>
      <c r="C105">
        <f t="shared" si="10"/>
        <v>0</v>
      </c>
      <c r="D105">
        <f t="shared" si="11"/>
        <v>0</v>
      </c>
      <c r="E105">
        <f t="shared" si="12"/>
        <v>0</v>
      </c>
      <c r="F105">
        <f>COUNTIFS(Table1[Section],"EMU",Table1[SubSection],"Cross-Border Considerations",Table1[Capacity ],"No capacity")</f>
        <v>0</v>
      </c>
      <c r="G105">
        <f>COUNTIFS(Table1[Section],"EMU",Table1[SubSection],"Cross-Border Considerations",Table1[Capacity ],"Partial capacity")</f>
        <v>0</v>
      </c>
      <c r="H105">
        <f>COUNTIFS(Table1[Section],"EMU",Table1[SubSection],"Cross-Border Considerations",Table1[Capacity ],"Implemented capacity")</f>
        <v>0</v>
      </c>
      <c r="I105">
        <f t="shared" si="4"/>
        <v>0</v>
      </c>
      <c r="J105">
        <f>3*2</f>
        <v>6</v>
      </c>
      <c r="K105" s="49">
        <f t="shared" si="0"/>
        <v>0</v>
      </c>
    </row>
    <row r="106" spans="1:11">
      <c r="A106" s="30" t="s">
        <v>80</v>
      </c>
      <c r="B106" s="34" t="s">
        <v>133</v>
      </c>
      <c r="C106">
        <f t="shared" si="1"/>
        <v>0</v>
      </c>
      <c r="D106">
        <f t="shared" si="2"/>
        <v>0</v>
      </c>
      <c r="E106">
        <f t="shared" si="3"/>
        <v>0</v>
      </c>
      <c r="F106">
        <f>COUNTIFS(Table1[Section],"EIR",Table1[SubSection],"Plans and Processes",Table1[Capacity ],"No capacity")</f>
        <v>0</v>
      </c>
      <c r="G106">
        <f>COUNTIFS(Table1[Section],"EIR",Table1[SubSection],"Plans and Processes",Table1[Capacity ],"Partial capacity")</f>
        <v>0</v>
      </c>
      <c r="H106">
        <f>COUNTIFS(Table1[Section],"EIR",Table1[SubSection],"Plans and Processes",Table1[Capacity ],"Implemented capacity")</f>
        <v>0</v>
      </c>
      <c r="I106">
        <f t="shared" si="4"/>
        <v>0</v>
      </c>
      <c r="J106">
        <f>7*2</f>
        <v>14</v>
      </c>
      <c r="K106" s="49">
        <f t="shared" si="0"/>
        <v>0</v>
      </c>
    </row>
    <row r="107" ht="25.5" spans="1:11">
      <c r="A107" s="30"/>
      <c r="B107" s="34" t="s">
        <v>36</v>
      </c>
      <c r="C107">
        <f t="shared" si="1"/>
        <v>0</v>
      </c>
      <c r="D107">
        <f t="shared" si="2"/>
        <v>0</v>
      </c>
      <c r="E107">
        <f t="shared" si="3"/>
        <v>0</v>
      </c>
      <c r="F107">
        <f>COUNTIFS(Table1[Section],"EIR",Table1[SubSection],"Administrative Considerations",Table1[Capacity ],"No capacity")</f>
        <v>0</v>
      </c>
      <c r="G107">
        <f>COUNTIFS(Table1[Section],"EIR",Table1[SubSection],"Administrative Considerations",Table1[Capacity ],"Partial capacity")</f>
        <v>0</v>
      </c>
      <c r="H107">
        <f>COUNTIFS(Table1[Section],"EIR",Table1[SubSection],"Administrative Considerations",Table1[Capacity ],"Implemented capacity")</f>
        <v>0</v>
      </c>
      <c r="I107">
        <f t="shared" si="4"/>
        <v>0</v>
      </c>
      <c r="J107">
        <f>6*2</f>
        <v>12</v>
      </c>
      <c r="K107" s="49">
        <f t="shared" si="0"/>
        <v>0</v>
      </c>
    </row>
    <row r="108" ht="38.25" spans="1:11">
      <c r="A108" s="30"/>
      <c r="B108" s="34" t="s">
        <v>44</v>
      </c>
      <c r="C108">
        <f t="shared" si="1"/>
        <v>0</v>
      </c>
      <c r="D108">
        <f t="shared" si="2"/>
        <v>0</v>
      </c>
      <c r="E108">
        <f t="shared" si="3"/>
        <v>0</v>
      </c>
      <c r="F108">
        <f>COUNTIFS(Table1[Section],"EIR",Table1[SubSection],"Staffing and Rostering",Table1[Capacity ],"No capacity")</f>
        <v>0</v>
      </c>
      <c r="G108">
        <f>COUNTIFS(Table1[Section],"EIR",Table1[SubSection],"Staffing and Rostering",Table1[Capacity ],"Partial capacity")</f>
        <v>0</v>
      </c>
      <c r="H108">
        <f>COUNTIFS(Table1[Section],"EIR",Table1[SubSection],"Staffing and Rostering",Table1[Capacity ],"Implemented capacity")</f>
        <v>0</v>
      </c>
      <c r="I108">
        <f t="shared" si="4"/>
        <v>0</v>
      </c>
      <c r="J108">
        <f>3*2</f>
        <v>6</v>
      </c>
      <c r="K108" s="49">
        <f t="shared" si="0"/>
        <v>0</v>
      </c>
    </row>
    <row r="109" ht="25.5" spans="1:11">
      <c r="A109" s="30"/>
      <c r="B109" s="34" t="s">
        <v>50</v>
      </c>
      <c r="C109">
        <f t="shared" si="1"/>
        <v>0</v>
      </c>
      <c r="D109">
        <f t="shared" si="2"/>
        <v>0</v>
      </c>
      <c r="E109">
        <f t="shared" si="3"/>
        <v>0</v>
      </c>
      <c r="F109">
        <f>COUNTIFS(Table1[Section],"EIR",Table1[SubSection],"Training Program",Table1[Capacity ],"No capacity")</f>
        <v>0</v>
      </c>
      <c r="G109">
        <f>COUNTIFS(Table1[Section],"EIR",Table1[SubSection],"Training Program",Table1[Capacity ],"Partial capacity")</f>
        <v>0</v>
      </c>
      <c r="H109">
        <f>COUNTIFS(Table1[Section],"EIR",Table1[SubSection],"Training Program",Table1[Capacity ],"Implemented capacity")</f>
        <v>0</v>
      </c>
      <c r="I109">
        <f t="shared" si="4"/>
        <v>0</v>
      </c>
      <c r="J109">
        <f>5*2</f>
        <v>10</v>
      </c>
      <c r="K109" s="49">
        <f t="shared" si="0"/>
        <v>0</v>
      </c>
    </row>
    <row r="110" ht="25.5" spans="1:11">
      <c r="A110" s="30"/>
      <c r="B110" s="34" t="s">
        <v>55</v>
      </c>
      <c r="C110">
        <f t="shared" si="1"/>
        <v>0</v>
      </c>
      <c r="D110">
        <f t="shared" si="2"/>
        <v>0</v>
      </c>
      <c r="E110">
        <f t="shared" si="3"/>
        <v>0</v>
      </c>
      <c r="F110">
        <f>COUNTIFS(Table1[Section],"EIR",Table1[SubSection],"Activation and Pre-Deployment",Table1[Capacity ],"No capacity")</f>
        <v>0</v>
      </c>
      <c r="G110">
        <f>COUNTIFS(Table1[Section],"EIR",Table1[SubSection],"Activation and Pre-Deployment",Table1[Capacity ],"Partial capacity")</f>
        <v>0</v>
      </c>
      <c r="H110">
        <f>COUNTIFS(Table1[Section],"EIR",Table1[SubSection],"Activation and Pre-Deployment",Table1[Capacity ],"Implemented capacity")</f>
        <v>0</v>
      </c>
      <c r="I110">
        <f t="shared" si="4"/>
        <v>0</v>
      </c>
      <c r="J110">
        <f>5*2</f>
        <v>10</v>
      </c>
      <c r="K110" s="49">
        <f t="shared" si="0"/>
        <v>0</v>
      </c>
    </row>
    <row r="111" spans="1:11">
      <c r="A111" s="30"/>
      <c r="B111" s="34" t="s">
        <v>60</v>
      </c>
      <c r="C111">
        <f t="shared" si="1"/>
        <v>0</v>
      </c>
      <c r="D111">
        <f t="shared" si="2"/>
        <v>0</v>
      </c>
      <c r="E111">
        <f t="shared" si="3"/>
        <v>0</v>
      </c>
      <c r="F111">
        <f>COUNTIFS(Table1[Section],"EIR",Table1[SubSection],"Deployment",Table1[Capacity ],"No capacity")</f>
        <v>0</v>
      </c>
      <c r="G111">
        <f>COUNTIFS(Table1[Section],"EIR",Table1[SubSection],"Deployment",Table1[Capacity ],"Partial capacity")</f>
        <v>0</v>
      </c>
      <c r="H111">
        <f>COUNTIFS(Table1[Section],"EIR",Table1[SubSection],"Deployment",Table1[Capacity ],"Implemented capacity")</f>
        <v>0</v>
      </c>
      <c r="I111">
        <f t="shared" si="4"/>
        <v>0</v>
      </c>
      <c r="J111">
        <f>6*2</f>
        <v>12</v>
      </c>
      <c r="K111" s="49">
        <f t="shared" si="0"/>
        <v>0</v>
      </c>
    </row>
    <row r="112" spans="1:11">
      <c r="A112" s="30"/>
      <c r="B112" s="34" t="s">
        <v>67</v>
      </c>
      <c r="C112">
        <f t="shared" si="1"/>
        <v>0</v>
      </c>
      <c r="D112">
        <f t="shared" si="2"/>
        <v>0</v>
      </c>
      <c r="E112">
        <f t="shared" si="3"/>
        <v>0</v>
      </c>
      <c r="F112">
        <f>COUNTIFS(Table1[Section],"EIR",Table1[SubSection],"Post-Deployment",Table1[Capacity ],"No capacity")</f>
        <v>0</v>
      </c>
      <c r="G112">
        <f>COUNTIFS(Table1[Section],"EIR",Table1[SubSection],"Post-Deployment",Table1[Capacity ],"Partial capacity")</f>
        <v>0</v>
      </c>
      <c r="H112">
        <f>COUNTIFS(Table1[Section],"EIR",Table1[SubSection],"Post-Deployment",Table1[Capacity ],"Implemented capacity")</f>
        <v>0</v>
      </c>
      <c r="I112">
        <f t="shared" si="4"/>
        <v>0</v>
      </c>
      <c r="J112">
        <f>3*2</f>
        <v>6</v>
      </c>
      <c r="K112" s="49">
        <f t="shared" si="0"/>
        <v>0</v>
      </c>
    </row>
    <row r="113" spans="1:11">
      <c r="A113" s="30"/>
      <c r="B113" s="34" t="s">
        <v>71</v>
      </c>
      <c r="C113">
        <f t="shared" si="1"/>
        <v>0</v>
      </c>
      <c r="D113">
        <f t="shared" si="2"/>
        <v>0</v>
      </c>
      <c r="E113">
        <f t="shared" si="3"/>
        <v>0</v>
      </c>
      <c r="F113">
        <f>COUNTIFS(Table1[Section],"EIR",Table1[SubSection],"Monitoring and Evaluation",Table1[Capacity ],"No capacity")</f>
        <v>0</v>
      </c>
      <c r="G113">
        <f>COUNTIFS(Table1[Section],"EIR",Table1[SubSection],"Monitoring and Evaluation",Table1[Capacity ],"Partial capacity")</f>
        <v>0</v>
      </c>
      <c r="H113">
        <f>COUNTIFS(Table1[Section],"EIR",Table1[SubSection],"Monitoring and Evaluation",Table1[Capacity ],"Implemented capacity")</f>
        <v>0</v>
      </c>
      <c r="I113">
        <f t="shared" si="4"/>
        <v>0</v>
      </c>
      <c r="J113">
        <f>4*2</f>
        <v>8</v>
      </c>
      <c r="K113" s="49">
        <f t="shared" si="0"/>
        <v>0</v>
      </c>
    </row>
    <row r="114" ht="25.5" spans="1:11">
      <c r="A114" s="30"/>
      <c r="B114" s="34" t="s">
        <v>76</v>
      </c>
      <c r="C114">
        <f t="shared" ref="C114" si="13">F114*0</f>
        <v>0</v>
      </c>
      <c r="D114">
        <f t="shared" ref="D114" si="14">G114*1</f>
        <v>0</v>
      </c>
      <c r="E114">
        <f t="shared" ref="E114" si="15">H114*2</f>
        <v>0</v>
      </c>
      <c r="F114">
        <f>COUNTIFS(Table1[Section],"EIR",Table1[SubSection],"Cross-Border Considerations",Table1[Capacity ],"No capacity")</f>
        <v>0</v>
      </c>
      <c r="G114">
        <f>COUNTIFS(Table1[Section],"EIR",Table1[SubSection],"Cross-Border Considerations",Table1[Capacity ],"Partial capacity")</f>
        <v>0</v>
      </c>
      <c r="H114">
        <f>COUNTIFS(Table1[Section],"EIR",Table1[SubSection],"Cross-Border Considerations",Table1[Capacity ],"Implemented capacity")</f>
        <v>0</v>
      </c>
      <c r="I114">
        <f t="shared" si="4"/>
        <v>0</v>
      </c>
      <c r="J114">
        <f>3*2</f>
        <v>6</v>
      </c>
      <c r="K114" s="49">
        <f t="shared" si="0"/>
        <v>0</v>
      </c>
    </row>
    <row r="115" spans="1:11">
      <c r="A115" s="30"/>
      <c r="B115" s="34"/>
      <c r="D115" s="18"/>
      <c r="E115" s="18"/>
      <c r="F115" s="18"/>
      <c r="G115" s="18"/>
      <c r="H115" s="18"/>
      <c r="I115" s="18"/>
      <c r="J115" s="18"/>
      <c r="K115" s="49"/>
    </row>
    <row r="116" spans="1:11">
      <c r="A116" s="35"/>
      <c r="B116" s="36"/>
      <c r="C116" s="37" t="s">
        <v>124</v>
      </c>
      <c r="D116" s="37"/>
      <c r="E116" s="37"/>
      <c r="F116" s="37" t="s">
        <v>141</v>
      </c>
      <c r="G116" s="37"/>
      <c r="H116" s="37"/>
      <c r="I116" s="37" t="s">
        <v>131</v>
      </c>
      <c r="J116" s="37"/>
      <c r="K116" s="50"/>
    </row>
    <row r="117" spans="1:11">
      <c r="A117" s="38" t="s">
        <v>19</v>
      </c>
      <c r="B117" s="32" t="s">
        <v>20</v>
      </c>
      <c r="C117" s="39" t="s">
        <v>5</v>
      </c>
      <c r="D117" s="39" t="s">
        <v>9</v>
      </c>
      <c r="E117" s="39" t="s">
        <v>12</v>
      </c>
      <c r="F117" s="11" t="s">
        <v>6</v>
      </c>
      <c r="G117" s="11" t="s">
        <v>10</v>
      </c>
      <c r="H117" s="11" t="s">
        <v>13</v>
      </c>
      <c r="I117" s="39" t="s">
        <v>120</v>
      </c>
      <c r="J117" s="39" t="s">
        <v>121</v>
      </c>
      <c r="K117" s="51" t="s">
        <v>132</v>
      </c>
    </row>
    <row r="118" spans="1:11">
      <c r="A118" s="30" t="s">
        <v>126</v>
      </c>
      <c r="B118" s="40" t="s">
        <v>133</v>
      </c>
      <c r="C118">
        <f>F118*0</f>
        <v>0</v>
      </c>
      <c r="D118">
        <f>G118*1</f>
        <v>0</v>
      </c>
      <c r="E118">
        <f>H118*2</f>
        <v>0</v>
      </c>
      <c r="F118">
        <v>0</v>
      </c>
      <c r="G118">
        <v>0</v>
      </c>
      <c r="H118">
        <v>0</v>
      </c>
      <c r="I118">
        <f>SUM(C118:E118)</f>
        <v>0</v>
      </c>
      <c r="J118">
        <f>12*2</f>
        <v>24</v>
      </c>
      <c r="K118" s="49">
        <f t="shared" ref="K118:K143" si="16">I118/J118</f>
        <v>0</v>
      </c>
    </row>
    <row r="119" spans="1:11">
      <c r="A119" s="30"/>
      <c r="B119" s="40" t="s">
        <v>134</v>
      </c>
      <c r="C119">
        <f t="shared" ref="C119:C120" si="17">F119*0</f>
        <v>0</v>
      </c>
      <c r="D119">
        <f t="shared" ref="D119:D120" si="18">G119*1</f>
        <v>0</v>
      </c>
      <c r="E119">
        <f t="shared" ref="E119:E120" si="19">H119*2</f>
        <v>0</v>
      </c>
      <c r="F119">
        <v>0</v>
      </c>
      <c r="G119">
        <v>0</v>
      </c>
      <c r="H119">
        <v>0</v>
      </c>
      <c r="I119">
        <f t="shared" ref="I119:I121" si="20">SUM(C119:E119)</f>
        <v>0</v>
      </c>
      <c r="J119">
        <f>8*2</f>
        <v>16</v>
      </c>
      <c r="K119" s="49">
        <f t="shared" si="16"/>
        <v>0</v>
      </c>
    </row>
    <row r="120" spans="1:11">
      <c r="A120" s="30"/>
      <c r="B120" s="40" t="s">
        <v>135</v>
      </c>
      <c r="C120">
        <f t="shared" si="17"/>
        <v>0</v>
      </c>
      <c r="D120">
        <f t="shared" si="18"/>
        <v>0</v>
      </c>
      <c r="E120">
        <f t="shared" si="19"/>
        <v>0</v>
      </c>
      <c r="F120">
        <v>0</v>
      </c>
      <c r="G120">
        <v>0</v>
      </c>
      <c r="H120">
        <v>0</v>
      </c>
      <c r="I120">
        <f t="shared" si="20"/>
        <v>0</v>
      </c>
      <c r="J120">
        <f>2*2</f>
        <v>4</v>
      </c>
      <c r="K120" s="49">
        <f t="shared" si="16"/>
        <v>0</v>
      </c>
    </row>
    <row r="121" spans="1:11">
      <c r="A121" s="30"/>
      <c r="B121" s="40" t="s">
        <v>136</v>
      </c>
      <c r="C121">
        <f t="shared" ref="C121" si="21">F121*0</f>
        <v>0</v>
      </c>
      <c r="D121">
        <f t="shared" ref="D121" si="22">G121*1</f>
        <v>0</v>
      </c>
      <c r="E121">
        <f t="shared" ref="E121" si="23">H121*2</f>
        <v>0</v>
      </c>
      <c r="F121">
        <v>0</v>
      </c>
      <c r="G121">
        <v>0</v>
      </c>
      <c r="H121">
        <v>0</v>
      </c>
      <c r="I121">
        <f t="shared" si="20"/>
        <v>0</v>
      </c>
      <c r="J121">
        <f>2*2</f>
        <v>4</v>
      </c>
      <c r="K121" s="49">
        <f t="shared" si="16"/>
        <v>0</v>
      </c>
    </row>
    <row r="122" spans="1:11">
      <c r="A122" s="30"/>
      <c r="B122" s="40" t="s">
        <v>142</v>
      </c>
      <c r="C122">
        <f t="shared" ref="C122:C142" si="24">F122*0</f>
        <v>0</v>
      </c>
      <c r="D122">
        <f t="shared" ref="D122:D141" si="25">G122*1</f>
        <v>0</v>
      </c>
      <c r="E122">
        <f t="shared" ref="E122:E143" si="26">H122*2</f>
        <v>0</v>
      </c>
      <c r="F122">
        <v>0</v>
      </c>
      <c r="G122">
        <v>0</v>
      </c>
      <c r="H122">
        <v>0</v>
      </c>
      <c r="I122">
        <f t="shared" ref="I122:I142" si="27">SUM(C122:E122)</f>
        <v>0</v>
      </c>
      <c r="J122">
        <f>3*2</f>
        <v>6</v>
      </c>
      <c r="K122" s="49">
        <f t="shared" si="16"/>
        <v>0</v>
      </c>
    </row>
    <row r="123" spans="1:11">
      <c r="A123" s="30" t="s">
        <v>137</v>
      </c>
      <c r="B123" s="40" t="s">
        <v>138</v>
      </c>
      <c r="C123">
        <f t="shared" si="24"/>
        <v>0</v>
      </c>
      <c r="D123">
        <f t="shared" si="25"/>
        <v>0</v>
      </c>
      <c r="E123">
        <f t="shared" si="26"/>
        <v>0</v>
      </c>
      <c r="F123">
        <f>COUNTIFS(Table1[Section],"COU/COUSP/IMS",Table1[SubSection],"IMS-Mgmt",Table1[Operational Status ],"Not operational")</f>
        <v>0</v>
      </c>
      <c r="G123">
        <f>COUNTIFS(Table1[Section],"COU/COUSP/IMS",Table1[SubSection],"IMS-Mgmt",Table1[Operational Status ],"Limited operational functions")</f>
        <v>0</v>
      </c>
      <c r="H123">
        <f>COUNTIFS(Table1[Section],"COU/COUSP/IMS",Table1[SubSection],"IMS-Mgmt",Table1[Operational Status ],"Fully operational")</f>
        <v>0</v>
      </c>
      <c r="I123">
        <f t="shared" si="27"/>
        <v>0</v>
      </c>
      <c r="J123">
        <f t="shared" ref="J123" si="28">2*2</f>
        <v>4</v>
      </c>
      <c r="K123" s="49">
        <f t="shared" si="16"/>
        <v>0</v>
      </c>
    </row>
    <row r="124" spans="1:11">
      <c r="A124" s="30"/>
      <c r="B124" s="40" t="s">
        <v>139</v>
      </c>
      <c r="C124">
        <f t="shared" si="24"/>
        <v>0</v>
      </c>
      <c r="D124">
        <f t="shared" si="25"/>
        <v>0</v>
      </c>
      <c r="E124">
        <f t="shared" si="26"/>
        <v>0</v>
      </c>
      <c r="F124">
        <f>COUNTIFS(Table1[Section],"COU/COUSP/IMS",Table1[SubSection],"IMS-Staff/HR",Table1[Operational Status ],"Not operational")</f>
        <v>0</v>
      </c>
      <c r="G124">
        <f>COUNTIFS(Table1[Section],"COU/COUSP/IMS",Table1[SubSection],"IMS-Staff/HR",Table1[Operational Status ],"Limited operational functions")</f>
        <v>0</v>
      </c>
      <c r="H124">
        <f>COUNTIFS(Table1[Section],"COU/COUSP/IMS",Table1[SubSection],"IMS-Staff/HR",Table1[Operational Status ],"Fully operational")</f>
        <v>0</v>
      </c>
      <c r="I124">
        <f t="shared" si="27"/>
        <v>0</v>
      </c>
      <c r="J124">
        <f>6*2</f>
        <v>12</v>
      </c>
      <c r="K124" s="49">
        <f t="shared" si="16"/>
        <v>0</v>
      </c>
    </row>
    <row r="125" spans="1:11">
      <c r="A125" s="30" t="s">
        <v>140</v>
      </c>
      <c r="B125" s="40" t="s">
        <v>140</v>
      </c>
      <c r="C125">
        <f t="shared" si="24"/>
        <v>0</v>
      </c>
      <c r="D125">
        <f t="shared" si="25"/>
        <v>0</v>
      </c>
      <c r="E125">
        <f t="shared" si="26"/>
        <v>0</v>
      </c>
      <c r="F125">
        <f>COUNTIFS(Table1[Section],"COU/COUSP/IMS",Table1[SubSection],"COU/COUSP",Table1[Operational Status ],"Not operational")</f>
        <v>0</v>
      </c>
      <c r="G125">
        <f>COUNTIFS(Table1[Section],"COU/COUSP/IMS",Table1[SubSection],"COU/COUSP",Table1[Operational Status ],"Limited operational functions")</f>
        <v>0</v>
      </c>
      <c r="H125">
        <f>COUNTIFS(Table1[Section],"COU/COUSP/IMS",Table1[SubSection],"COU/COUSP",Table1[Operational Status ],"Fully operational")</f>
        <v>0</v>
      </c>
      <c r="I125">
        <f t="shared" si="27"/>
        <v>0</v>
      </c>
      <c r="J125">
        <f>12*2</f>
        <v>24</v>
      </c>
      <c r="K125" s="49">
        <f t="shared" si="16"/>
        <v>0</v>
      </c>
    </row>
    <row r="126" spans="1:11">
      <c r="A126" s="30" t="s">
        <v>26</v>
      </c>
      <c r="B126" s="34" t="s">
        <v>133</v>
      </c>
      <c r="C126">
        <f t="shared" si="24"/>
        <v>0</v>
      </c>
      <c r="D126">
        <f t="shared" si="25"/>
        <v>0</v>
      </c>
      <c r="E126">
        <f t="shared" si="26"/>
        <v>0</v>
      </c>
      <c r="F126">
        <f>COUNTIFS(Table1[Section],"EMU",Table1[SubSection],"Plans and Processes",Table1[Operational Status ],"Not operational")</f>
        <v>0</v>
      </c>
      <c r="G126">
        <f>COUNTIFS(Table1[Section],"EMU",Table1[SubSection],"Plans and Processes",Table1[Operational Status ],"Limited operational functions")</f>
        <v>0</v>
      </c>
      <c r="H126">
        <f>COUNTIFS(Table1[Section],"EMU",Table1[SubSection],"Plans and Processes",Table1[Operational Status ],"Fully operational")</f>
        <v>0</v>
      </c>
      <c r="I126">
        <f t="shared" si="27"/>
        <v>0</v>
      </c>
      <c r="J126">
        <f>8*2</f>
        <v>16</v>
      </c>
      <c r="K126" s="49">
        <f t="shared" si="16"/>
        <v>0</v>
      </c>
    </row>
    <row r="127" ht="25.5" spans="1:11">
      <c r="A127" s="30"/>
      <c r="B127" s="34" t="s">
        <v>36</v>
      </c>
      <c r="C127">
        <f t="shared" ref="C127:C133" si="29">F127*0</f>
        <v>0</v>
      </c>
      <c r="D127">
        <f t="shared" ref="D127:D133" si="30">G127*1</f>
        <v>0</v>
      </c>
      <c r="E127">
        <f t="shared" ref="E127:E133" si="31">H127*2</f>
        <v>0</v>
      </c>
      <c r="F127">
        <f>COUNTIFS(Table1[Section],"EMU",Table1[SubSection],"Administrative Considerations",Table1[Operational Status ],"Not operational")</f>
        <v>0</v>
      </c>
      <c r="G127">
        <f>COUNTIFS(Table1[Section],"EMU",Table1[SubSection],"Administrative Considerations",Table1[Operational Status ],"Limited operational functions")</f>
        <v>0</v>
      </c>
      <c r="H127">
        <f>COUNTIFS(Table1[Section],"EMU",Table1[SubSection],"Administrative Considerations",Table1[Operational Status ],"Fully operational")</f>
        <v>0</v>
      </c>
      <c r="I127">
        <f t="shared" ref="I127" si="32">SUM(C127:E127)</f>
        <v>0</v>
      </c>
      <c r="J127">
        <f>7*2</f>
        <v>14</v>
      </c>
      <c r="K127" s="49">
        <f t="shared" ref="K127" si="33">I127/J127</f>
        <v>0</v>
      </c>
    </row>
    <row r="128" ht="38.25" spans="1:11">
      <c r="A128" s="30"/>
      <c r="B128" s="34" t="s">
        <v>44</v>
      </c>
      <c r="C128">
        <f t="shared" si="29"/>
        <v>0</v>
      </c>
      <c r="D128">
        <f t="shared" si="30"/>
        <v>0</v>
      </c>
      <c r="E128">
        <f t="shared" si="31"/>
        <v>0</v>
      </c>
      <c r="F128">
        <f>COUNTIFS(Table1[Section],"EMU",Table1[SubSection],"Staffing and Rostering",Table1[Operational Status ],"Not operational")</f>
        <v>0</v>
      </c>
      <c r="G128">
        <f>COUNTIFS(Table1[Section],"EMU",Table1[SubSection],"Staffing and Rostering",Table1[Operational Status ],"Limited operational functions")</f>
        <v>0</v>
      </c>
      <c r="H128">
        <f>COUNTIFS(Table1[Section],"EMU",Table1[SubSection],"Staffing and Rostering",Table1[Operational Status ],"Fully operational")</f>
        <v>0</v>
      </c>
      <c r="I128">
        <f t="shared" ref="I128:I134" si="34">SUM(C128:E128)</f>
        <v>0</v>
      </c>
      <c r="J128">
        <f>5*2</f>
        <v>10</v>
      </c>
      <c r="K128" s="49">
        <f t="shared" ref="K128:K134" si="35">I128/J128</f>
        <v>0</v>
      </c>
    </row>
    <row r="129" ht="25.5" spans="1:11">
      <c r="A129" s="30"/>
      <c r="B129" s="34" t="s">
        <v>50</v>
      </c>
      <c r="C129">
        <f t="shared" si="29"/>
        <v>0</v>
      </c>
      <c r="D129">
        <f t="shared" si="30"/>
        <v>0</v>
      </c>
      <c r="E129">
        <f t="shared" si="31"/>
        <v>0</v>
      </c>
      <c r="F129">
        <f>COUNTIFS(Table1[Section],"EMU",Table1[SubSection],"Training Program",Table1[Operational Status ],"Not operational")</f>
        <v>0</v>
      </c>
      <c r="G129">
        <f>COUNTIFS(Table1[Section],"EMU",Table1[SubSection],"Training Program",Table1[Operational Status ],"Limited operational functions")</f>
        <v>0</v>
      </c>
      <c r="H129">
        <f>COUNTIFS(Table1[Section],"EMU",Table1[SubSection],"Training Program",Table1[Operational Status ],"Fully operational")</f>
        <v>0</v>
      </c>
      <c r="I129">
        <f t="shared" si="34"/>
        <v>0</v>
      </c>
      <c r="J129">
        <f>4*2</f>
        <v>8</v>
      </c>
      <c r="K129" s="49">
        <f t="shared" si="35"/>
        <v>0</v>
      </c>
    </row>
    <row r="130" ht="25.5" spans="1:11">
      <c r="A130" s="30"/>
      <c r="B130" s="34" t="s">
        <v>55</v>
      </c>
      <c r="C130">
        <f t="shared" si="29"/>
        <v>0</v>
      </c>
      <c r="D130">
        <f t="shared" si="30"/>
        <v>0</v>
      </c>
      <c r="E130">
        <f t="shared" si="31"/>
        <v>0</v>
      </c>
      <c r="F130">
        <f>COUNTIFS(Table1[Section],"EMU",Table1[SubSection],"Activation and Pre-Deployment",Table1[Operational Status ],"Not operational")</f>
        <v>0</v>
      </c>
      <c r="G130">
        <f>COUNTIFS(Table1[Section],"EMU",Table1[SubSection],"Activation and Pre-Deployment",Table1[Operational Status ],"Limited operational functions")</f>
        <v>0</v>
      </c>
      <c r="H130">
        <f>COUNTIFS(Table1[Section],"EMU",Table1[SubSection],"Activation and Pre-Deployment",Table1[Operational Status ],"Fully operational")</f>
        <v>0</v>
      </c>
      <c r="I130">
        <f t="shared" si="34"/>
        <v>0</v>
      </c>
      <c r="J130">
        <f>4*2</f>
        <v>8</v>
      </c>
      <c r="K130" s="49">
        <f t="shared" si="35"/>
        <v>0</v>
      </c>
    </row>
    <row r="131" spans="1:11">
      <c r="A131" s="30"/>
      <c r="B131" s="34" t="s">
        <v>60</v>
      </c>
      <c r="C131">
        <f t="shared" si="29"/>
        <v>0</v>
      </c>
      <c r="D131">
        <f t="shared" si="30"/>
        <v>0</v>
      </c>
      <c r="E131">
        <f t="shared" si="31"/>
        <v>0</v>
      </c>
      <c r="F131">
        <f>COUNTIFS(Table1[Section],"EMU",Table1[SubSection],"Deployment",Table1[Operational Status ],"Not operational")</f>
        <v>0</v>
      </c>
      <c r="G131">
        <f>COUNTIFS(Table1[Section],"EMU",Table1[SubSection],"Deployment",Table1[Operational Status ],"Limited operational functions")</f>
        <v>0</v>
      </c>
      <c r="H131">
        <f>COUNTIFS(Table1[Section],"EMU",Table1[SubSection],"Deployment",Table1[Operational Status ],"Fully operational")</f>
        <v>0</v>
      </c>
      <c r="I131">
        <f t="shared" si="34"/>
        <v>0</v>
      </c>
      <c r="J131">
        <f>6*2</f>
        <v>12</v>
      </c>
      <c r="K131" s="49">
        <f t="shared" si="35"/>
        <v>0</v>
      </c>
    </row>
    <row r="132" spans="1:11">
      <c r="A132" s="30"/>
      <c r="B132" s="34" t="s">
        <v>67</v>
      </c>
      <c r="C132">
        <f t="shared" si="29"/>
        <v>0</v>
      </c>
      <c r="D132">
        <f t="shared" si="30"/>
        <v>0</v>
      </c>
      <c r="E132">
        <f t="shared" si="31"/>
        <v>0</v>
      </c>
      <c r="F132">
        <f>COUNTIFS(Table1[Section],"EMU",Table1[SubSection],"Post-Deployment",Table1[Operational Status ],"Not operational")</f>
        <v>0</v>
      </c>
      <c r="G132">
        <f>COUNTIFS(Table1[Section],"EMU",Table1[SubSection],"Post-Deployment",Table1[Operational Status ],"Limited operational functions")</f>
        <v>0</v>
      </c>
      <c r="H132">
        <f>COUNTIFS(Table1[Section],"EMU",Table1[SubSection],"Post-Deployment",Table1[Operational Status ],"Fully operational")</f>
        <v>0</v>
      </c>
      <c r="I132">
        <f t="shared" si="34"/>
        <v>0</v>
      </c>
      <c r="J132">
        <f>3*2</f>
        <v>6</v>
      </c>
      <c r="K132" s="49">
        <f t="shared" si="35"/>
        <v>0</v>
      </c>
    </row>
    <row r="133" spans="1:11">
      <c r="A133" s="30"/>
      <c r="B133" s="34" t="s">
        <v>71</v>
      </c>
      <c r="C133">
        <f t="shared" si="29"/>
        <v>0</v>
      </c>
      <c r="D133">
        <f t="shared" si="30"/>
        <v>0</v>
      </c>
      <c r="E133">
        <f t="shared" si="31"/>
        <v>0</v>
      </c>
      <c r="F133">
        <f>COUNTIFS(Table1[Section],"EMU",Table1[SubSection],"Monitoring and Evaluation",Table1[Operational Status ],"Not operational")</f>
        <v>0</v>
      </c>
      <c r="G133">
        <f>COUNTIFS(Table1[Section],"EMU",Table1[SubSection],"Monitoring and Evaluation",Table1[Operational Status ],"Limited operational functions")</f>
        <v>0</v>
      </c>
      <c r="H133">
        <f>COUNTIFS(Table1[Section],"EMU",Table1[SubSection],"Monitoring and Evaluation",Table1[Operational Status ],"Fully operational")</f>
        <v>0</v>
      </c>
      <c r="I133">
        <f t="shared" si="34"/>
        <v>0</v>
      </c>
      <c r="J133">
        <f>4*2</f>
        <v>8</v>
      </c>
      <c r="K133" s="49">
        <f t="shared" si="35"/>
        <v>0</v>
      </c>
    </row>
    <row r="134" ht="25.5" spans="1:11">
      <c r="A134" s="30"/>
      <c r="B134" s="34" t="s">
        <v>143</v>
      </c>
      <c r="C134">
        <f t="shared" si="24"/>
        <v>0</v>
      </c>
      <c r="D134">
        <f t="shared" si="25"/>
        <v>0</v>
      </c>
      <c r="E134">
        <f t="shared" si="26"/>
        <v>0</v>
      </c>
      <c r="F134">
        <f>COUNTIFS(Table1[Section],"EMU",Table1[SubSection],"Cross-Border Considerations",Table1[Operational Status ],"Not operational")</f>
        <v>0</v>
      </c>
      <c r="G134">
        <f>COUNTIFS(Table1[Section],"EMU",Table1[SubSection],"Cross-Border Considerations",Table1[Operational Status ],"Limited operational functions")</f>
        <v>0</v>
      </c>
      <c r="H134">
        <f>COUNTIFS(Table1[Section],"EMU",Table1[SubSection],"Cross-Border Considerations",Table1[Operational Status ],"Fully operational")</f>
        <v>0</v>
      </c>
      <c r="I134">
        <f t="shared" si="34"/>
        <v>0</v>
      </c>
      <c r="J134">
        <f>3*2</f>
        <v>6</v>
      </c>
      <c r="K134" s="49">
        <f t="shared" si="35"/>
        <v>0</v>
      </c>
    </row>
    <row r="135" spans="1:11">
      <c r="A135" s="30" t="s">
        <v>80</v>
      </c>
      <c r="B135" s="40" t="s">
        <v>133</v>
      </c>
      <c r="C135">
        <f t="shared" si="24"/>
        <v>0</v>
      </c>
      <c r="D135">
        <f t="shared" si="25"/>
        <v>0</v>
      </c>
      <c r="E135">
        <f t="shared" si="26"/>
        <v>0</v>
      </c>
      <c r="F135">
        <f>COUNTIFS(Table1[Section],"EIR",Table1[SubSection],"Plans and Processes",Table1[Operational Status ],"Not operational")</f>
        <v>0</v>
      </c>
      <c r="G135">
        <f>COUNTIFS(Table1[Section],"EIR",Table1[SubSection],"Plans and Processes",Table1[Operational Status ],"Limited operational functions")</f>
        <v>0</v>
      </c>
      <c r="H135">
        <f>COUNTIFS(Table1[Section],"EIR",Table1[SubSection],"Plans and Processes",Table1[Operational Status ],"Fully operational")</f>
        <v>0</v>
      </c>
      <c r="I135">
        <f t="shared" si="27"/>
        <v>0</v>
      </c>
      <c r="J135">
        <f>7*2</f>
        <v>14</v>
      </c>
      <c r="K135" s="49">
        <f t="shared" si="16"/>
        <v>0</v>
      </c>
    </row>
    <row r="136" spans="1:11">
      <c r="A136" s="30"/>
      <c r="B136" s="40" t="s">
        <v>36</v>
      </c>
      <c r="C136">
        <f t="shared" si="24"/>
        <v>0</v>
      </c>
      <c r="D136">
        <f t="shared" si="25"/>
        <v>0</v>
      </c>
      <c r="E136">
        <f t="shared" si="26"/>
        <v>0</v>
      </c>
      <c r="F136">
        <f>COUNTIFS(Table1[Section],"EIR",Table1[SubSection],"Administrative Considerations",Table1[Operational Status ],"Not operational")</f>
        <v>0</v>
      </c>
      <c r="G136">
        <f>COUNTIFS(Table1[Section],"EIR",Table1[SubSection],"Administrative Considerations",Table1[Operational Status ],"Limited operational functions")</f>
        <v>0</v>
      </c>
      <c r="H136">
        <f>COUNTIFS(Table1[Section],"EIR",Table1[SubSection],"Administrative Considerations",Table1[Operational Status ],"Fully operational")</f>
        <v>0</v>
      </c>
      <c r="I136">
        <f t="shared" si="27"/>
        <v>0</v>
      </c>
      <c r="J136">
        <f>6*2</f>
        <v>12</v>
      </c>
      <c r="K136" s="49">
        <f t="shared" si="16"/>
        <v>0</v>
      </c>
    </row>
    <row r="137" spans="1:11">
      <c r="A137" s="30"/>
      <c r="B137" s="40" t="s">
        <v>44</v>
      </c>
      <c r="C137">
        <f t="shared" si="24"/>
        <v>0</v>
      </c>
      <c r="D137">
        <f t="shared" si="25"/>
        <v>0</v>
      </c>
      <c r="E137">
        <f t="shared" si="26"/>
        <v>0</v>
      </c>
      <c r="F137">
        <f>COUNTIFS(Table1[Section],"EIR",Table1[SubSection],"Staffing and Rostering",Table1[Operational Status ],"Not operational")</f>
        <v>0</v>
      </c>
      <c r="G137">
        <f>COUNTIFS(Table1[Section],"EIR",Table1[SubSection],"Staffing and Rostering",Table1[Operational Status ],"Limited operational functions")</f>
        <v>0</v>
      </c>
      <c r="H137">
        <f>COUNTIFS(Table1[Section],"EIR",Table1[SubSection],"Staffing and Rostering",Table1[Operational Status ],"Fully operational")</f>
        <v>0</v>
      </c>
      <c r="I137">
        <f t="shared" si="27"/>
        <v>0</v>
      </c>
      <c r="J137">
        <f>3*2</f>
        <v>6</v>
      </c>
      <c r="K137" s="49">
        <f t="shared" si="16"/>
        <v>0</v>
      </c>
    </row>
    <row r="138" spans="1:11">
      <c r="A138" s="30"/>
      <c r="B138" s="40" t="s">
        <v>50</v>
      </c>
      <c r="C138">
        <f t="shared" si="24"/>
        <v>0</v>
      </c>
      <c r="D138">
        <f t="shared" si="25"/>
        <v>0</v>
      </c>
      <c r="E138">
        <f t="shared" si="26"/>
        <v>0</v>
      </c>
      <c r="F138">
        <f>COUNTIFS(Table1[Section],"EIR",Table1[SubSection],"Training Program",Table1[Operational Status ],"Not operational")</f>
        <v>0</v>
      </c>
      <c r="G138">
        <f>COUNTIFS(Table1[Section],"EIR",Table1[SubSection],"Training Program",Table1[Operational Status ],"Limited operational functions")</f>
        <v>0</v>
      </c>
      <c r="H138">
        <f>COUNTIFS(Table1[Section],"EIR",Table1[SubSection],"Training Program",Table1[Operational Status ],"Fully operational")</f>
        <v>0</v>
      </c>
      <c r="I138">
        <f t="shared" si="27"/>
        <v>0</v>
      </c>
      <c r="J138">
        <f>5*2</f>
        <v>10</v>
      </c>
      <c r="K138" s="49">
        <f t="shared" si="16"/>
        <v>0</v>
      </c>
    </row>
    <row r="139" spans="1:11">
      <c r="A139" s="30"/>
      <c r="B139" s="40" t="s">
        <v>55</v>
      </c>
      <c r="C139">
        <f t="shared" si="24"/>
        <v>0</v>
      </c>
      <c r="D139">
        <f t="shared" si="25"/>
        <v>0</v>
      </c>
      <c r="E139">
        <f t="shared" si="26"/>
        <v>0</v>
      </c>
      <c r="F139">
        <f>COUNTIFS(Table1[Section],"EIR",Table1[SubSection],"Activation and Pre-Deployment",Table1[Operational Status ],"Not operational")</f>
        <v>0</v>
      </c>
      <c r="G139">
        <f>COUNTIFS(Table1[Section],"EIR",Table1[SubSection],"Activation and Pre-Deployment",Table1[Operational Status ],"Limited operational functions")</f>
        <v>0</v>
      </c>
      <c r="H139">
        <f>COUNTIFS(Table1[Section],"EIR",Table1[SubSection],"Activation and Pre-Deployment",Table1[Operational Status ],"Fully operational")</f>
        <v>0</v>
      </c>
      <c r="I139">
        <f t="shared" si="27"/>
        <v>0</v>
      </c>
      <c r="J139">
        <f>5*2</f>
        <v>10</v>
      </c>
      <c r="K139" s="49">
        <f t="shared" si="16"/>
        <v>0</v>
      </c>
    </row>
    <row r="140" spans="1:11">
      <c r="A140" s="30"/>
      <c r="B140" s="40" t="s">
        <v>60</v>
      </c>
      <c r="C140">
        <f t="shared" si="24"/>
        <v>0</v>
      </c>
      <c r="D140">
        <f t="shared" si="25"/>
        <v>0</v>
      </c>
      <c r="E140">
        <f t="shared" si="26"/>
        <v>0</v>
      </c>
      <c r="F140">
        <f>COUNTIFS(Table1[Section],"EIR",Table1[SubSection],"Deployment",Table1[Operational Status ],"Not operational")</f>
        <v>0</v>
      </c>
      <c r="G140">
        <f>COUNTIFS(Table1[Section],"EIR",Table1[SubSection],"Deployment",Table1[Operational Status ],"Limited operational functions")</f>
        <v>0</v>
      </c>
      <c r="H140">
        <f>COUNTIFS(Table1[Section],"EIR",Table1[SubSection],"Deployment",Table1[Operational Status ],"Fully operational")</f>
        <v>0</v>
      </c>
      <c r="I140">
        <f t="shared" si="27"/>
        <v>0</v>
      </c>
      <c r="J140">
        <f>6*2</f>
        <v>12</v>
      </c>
      <c r="K140" s="49">
        <f t="shared" si="16"/>
        <v>0</v>
      </c>
    </row>
    <row r="141" spans="1:11">
      <c r="A141" s="30"/>
      <c r="B141" s="40" t="s">
        <v>67</v>
      </c>
      <c r="C141">
        <f t="shared" si="24"/>
        <v>0</v>
      </c>
      <c r="D141">
        <f t="shared" si="25"/>
        <v>0</v>
      </c>
      <c r="E141">
        <f t="shared" si="26"/>
        <v>0</v>
      </c>
      <c r="F141">
        <f>COUNTIFS(Table1[Section],"EIR",Table1[SubSection],"Post-Deployment",Table1[Operational Status ],"Not operational")</f>
        <v>0</v>
      </c>
      <c r="G141">
        <f>COUNTIFS(Table1[Section],"EIR",Table1[SubSection],"Post-Deployment",Table1[Operational Status ],"Limited operational functions")</f>
        <v>0</v>
      </c>
      <c r="H141">
        <f>COUNTIFS(Table1[Section],"EIR",Table1[SubSection],"Post-Deployment",Table1[Operational Status ],"Fully operational")</f>
        <v>0</v>
      </c>
      <c r="I141">
        <f t="shared" si="27"/>
        <v>0</v>
      </c>
      <c r="J141">
        <f>3*2</f>
        <v>6</v>
      </c>
      <c r="K141" s="49">
        <f t="shared" si="16"/>
        <v>0</v>
      </c>
    </row>
    <row r="142" spans="2:12">
      <c r="B142" s="40" t="s">
        <v>71</v>
      </c>
      <c r="C142">
        <f t="shared" si="24"/>
        <v>0</v>
      </c>
      <c r="D142">
        <f t="shared" ref="D142" si="36">G142*0</f>
        <v>0</v>
      </c>
      <c r="E142">
        <f t="shared" si="26"/>
        <v>0</v>
      </c>
      <c r="F142">
        <f>COUNTIFS(Table1[Section],"EIR",Table1[SubSection],"Monitoring and Evaluation",Table1[Operational Status ],"Not operational")</f>
        <v>0</v>
      </c>
      <c r="G142">
        <f>COUNTIFS(Table1[Section],"EIR",Table1[SubSection],"Monitoring and Evaluation",Table1[Operational Status ],"Limited operational functions")</f>
        <v>0</v>
      </c>
      <c r="H142">
        <f>COUNTIFS(Table1[Section],"EIR",Table1[SubSection],"Monitoring and Evaluation",Table1[Operational Status ],"Fully operational")</f>
        <v>0</v>
      </c>
      <c r="I142">
        <f t="shared" si="27"/>
        <v>0</v>
      </c>
      <c r="J142">
        <f>4*2</f>
        <v>8</v>
      </c>
      <c r="K142" s="55">
        <f t="shared" si="16"/>
        <v>0</v>
      </c>
      <c r="L142" s="30"/>
    </row>
    <row r="143" ht="26.25" spans="2:12">
      <c r="B143" s="52" t="s">
        <v>76</v>
      </c>
      <c r="C143">
        <f t="shared" ref="C143" si="37">F143*0</f>
        <v>0</v>
      </c>
      <c r="D143" s="53">
        <f t="shared" ref="D143" si="38">G143*0</f>
        <v>0</v>
      </c>
      <c r="E143">
        <f t="shared" si="26"/>
        <v>0</v>
      </c>
      <c r="F143" s="53">
        <f>COUNTIFS(Table1[Section],"EIR",Table1[SubSection],"Cross-Border Considerations",Table1[Operational Status ],"Not operational")</f>
        <v>0</v>
      </c>
      <c r="G143">
        <f>COUNTIFS(Table1[Section],"EIR",Table1[SubSection],"Cross-Border Considerations",Table1[Operational Status ],"Limited operational functions")</f>
        <v>0</v>
      </c>
      <c r="H143">
        <f>COUNTIFS(Table1[Section],"EIR",Table1[SubSection],"Cross-Border Considerations",Table1[Operational Status ],"Fully operational")</f>
        <v>0</v>
      </c>
      <c r="I143" s="53">
        <f t="shared" ref="I143" si="39">SUM(C143:E143)</f>
        <v>0</v>
      </c>
      <c r="J143">
        <f>3*2</f>
        <v>6</v>
      </c>
      <c r="K143" s="55">
        <f t="shared" si="16"/>
        <v>0</v>
      </c>
      <c r="L143" s="30"/>
    </row>
    <row r="144" spans="1:11">
      <c r="A144" s="54"/>
      <c r="C144" s="54"/>
      <c r="E144" s="54"/>
      <c r="G144" s="54"/>
      <c r="H144" s="54"/>
      <c r="J144" s="54"/>
      <c r="K144" s="54"/>
    </row>
  </sheetData>
  <mergeCells count="12">
    <mergeCell ref="A66:I66"/>
    <mergeCell ref="B67:D67"/>
    <mergeCell ref="E67:G67"/>
    <mergeCell ref="B73:D73"/>
    <mergeCell ref="E73:G73"/>
    <mergeCell ref="A86:K86"/>
    <mergeCell ref="C87:E87"/>
    <mergeCell ref="F87:H87"/>
    <mergeCell ref="I87:K87"/>
    <mergeCell ref="C116:E116"/>
    <mergeCell ref="F116:H116"/>
    <mergeCell ref="I116:K116"/>
  </mergeCells>
  <pageMargins left="0.7" right="0.7" top="0.75" bottom="0.75" header="0.3" footer="0.3"/>
  <pageSetup paperSize="1" orientation="portrait"/>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m s o - c o n t e n t T y p e ? > < F o r m T e m p l a t e s   x m l n s = " h t t p : / / s c h e m a s . m i c r o s o f t . c o m / s h a r e p o i n t / v 3 / c o n t e n t t y p e / f o r m s " > < D i s p l a y > D o c u m e n t L i b r a r y F o r m < / D i s p l a y > < E d i t > D o c u m e n t L i b r a r y F o r m < / E d i t > < N e w > D o c u m e n t L i b r a r y F o r m < / N e w > < / F o r m T e m p l a t e s > 
</file>

<file path=customXml/item2.xml>��< ? x m l   v e r s i o n = " 1 . 0 " ? > < p : p r o p e r t i e s   x m l n s : p = " h t t p : / / s c h e m a s . m i c r o s o f t . c o m / o f f i c e / 2 0 0 6 / m e t a d a t a / p r o p e r t i e s "   x m l n s : x s i = " h t t p : / / w w w . w 3 . o r g / 2 0 0 1 / X M L S c h e m a - i n s t a n c e "   x m l n s : p c = " h t t p : / / s c h e m a s . m i c r o s o f t . c o m / o f f i c e / i n f o p a t h / 2 0 0 7 / P a r t n e r C o n t r o l s " > < d o c u m e n t M a n a g e m e n t > < T a x C a t c h A l l   x m l n s = " 4 5 0 f 1 5 8 c - 3 9 7 a - 4 a 9 d - b 0 0 5 - a 4 4 c 9 2 e 0 f c c b "   x s i : n i l = " t r u e " / > < l c f 7 6 f 1 5 5 c e d 4 d d c b 4 0 9 7 1 3 4 f f 3 c 3 3 2 f   x m l n s = " e 2 a 6 4 9 9 7 - 2 0 3 d - 4 6 5 5 - a 5 9 5 - 3 8 3 c 2 e b 1 e 8 6 5 " > < T e r m s   x m l n s = " h t t p : / / s c h e m a s . m i c r o s o f t . c o m / o f f i c e / i n f o p a t h / 2 0 0 7 / P a r t n e r C o n t r o l s " > < / T e r m s > < / l c f 7 6 f 1 5 5 c e d 4 d d c b 4 0 9 7 1 3 4 f f 3 c 3 3 2 f > < S h a r e d W i t h U s e r s   x m l n s = " 4 5 0 f 1 5 8 c - 3 9 7 a - 4 a 9 d - b 0 0 5 - a 4 4 c 9 2 e 0 f c c b " > < U s e r I n f o > < D i s p l a y N a m e > S P A E T H ,   A l l y s o n   M a r y < / D i s p l a y N a m e > < A c c o u n t I d > 2 0 < / A c c o u n t I d > < A c c o u n t T y p e / > < / U s e r I n f o > < U s e r I n f o > < D i s p l a y N a m e > S h a r i n g L i n k s . a f 4 6 b c 0 b - 3 9 4 a - 4 4 c 7 - b e 4 4 - 8 a 4 c e 5 8 a f 3 f 0 . O r g a n i z a t i o n E d i t . 7 1 3 b c c 9 d - c c 8 1 - 4 c 4 6 - a 4 6 b - b c a d 4 3 d 9 8 b f 6 < / D i s p l a y N a m e > < A c c o u n t I d > 1 7 6 < / A c c o u n t I d > < A c c o u n t T y p e / > < / U s e r I n f o > < U s e r I n f o > < D i s p l a y N a m e > S h a r i n g L i n k s . 4 a 5 4 c 1 2 5 - 7 c 2 1 - 4 3 c 7 - 9 e b d - c 5 1 3 2 6 2 1 7 7 9 5 . O r g a n i z a t i o n E d i t . 1 e 1 5 a 0 b 3 - 7 9 e d - 4 0 a f - b 5 7 4 - 0 a 6 d 0 8 e a 7 a 8 6 < / D i s p l a y N a m e > < A c c o u n t I d > 2 4 6 < / A c c o u n t I d > < A c c o u n t T y p e / > < / U s e r I n f o > < U s e r I n f o > < D i s p l a y N a m e > D O M I N G U E S ,   M a r l e n e < / D i s p l a y N a m e > < A c c o u n t I d > 1 8 < / A c c o u n t I d > < A c c o u n t T y p e / > < / U s e r I n f o > < U s e r I n f o > < D i s p l a y N a m e > S h a r i n g L i n k s . c 4 d 8 9 8 e a - d f b e - 4 a 1 f - 9 2 c a - 1 c 5 e c 3 1 f a 6 3 7 . O r g a n i z a t i o n E d i t . c c 3 b 9 1 7 1 - 2 6 7 a - 4 5 3 7 - 8 c 2 d - 0 c 7 0 7 f 6 c 5 4 5 5 < / D i s p l a y N a m e > < A c c o u n t I d > 2 4 7 < / A c c o u n t I d > < A c c o u n t T y p e / > < / U s e r I n f o > < U s e r I n f o > < D i s p l a y N a m e > R U T A G E N G W A ,   A l f r e d < / D i s p l a y N a m e > < A c c o u n t I d > 1 6 9 5 < / A c c o u n t I d > < A c c o u n t T y p e / > < / U s e r I n f o > < U s e r I n f o > < D i s p l a y N a m e > B O N K O U N G O U ,   B o u k a r e < / D i s p l a y N a m e > < A c c o u n t I d > 4 9 1 < / A c c o u n t I d > < A c c o u n t T y p e / > < / U s e r I n f o > < U s e r I n f o > < D i s p l a y N a m e > E Z Z I N E ,   H i n d < / D i s p l a y N a m e > < A c c o u n t I d > 5 4 4 < / A c c o u n t I d > < A c c o u n t T y p e / > < / U s e r I n f o > < U s e r I n f o > < D i s p l a y N a m e > P H I L B E R T   L A J O L O ,   C a m i l a < / D i s p l a y N a m e > < A c c o u n t I d > 1 2 4 6 < / A c c o u n t I d > < A c c o u n t T y p e / > < / U s e r I n f o > < U s e r I n f o > < D i s p l a y N a m e > M A K A Y O T O ,   L y n d a h < / D i s p l a y N a m e > < A c c o u n t I d > 1 6 9 6 < / A c c o u n t I d > < A c c o u n t T y p e / > < / U s e r I n f o > < U s e r I n f o > < D i s p l a y N a m e > F R O S T ,   M e l i n d a < / D i s p l a y N a m e > < A c c o u n t I d > 6 2 0 < / A c c o u n t I d > < A c c o u n t T y p e / > < / U s e r I n f o > < U s e r I n f o > < D i s p l a y N a m e > S H A M S E L D E I N ,   S h e r i f < / D i s p l a y N a m e > < A c c o u n t I d > 1 6 9 3 < / A c c o u n t I d > < A c c o u n t T y p e / > < / U s e r I n f o > < U s e r I n f o > < D i s p l a y N a m e > A B I A N U R U ,   A m a r a c h i < / D i s p l a y N a m e > < A c c o u n t I d > 1 6 9 7 < / A c c o u n t I d > < A c c o u n t T y p e / > < / U s e r I n f o > < U s e r I n f o > < D i s p l a y N a m e > G O M E Z ,   P a u l a < / D i s p l a y N a m e > < A c c o u n t I d > 4 0 < / A c c o u n t I d > < A c c o u n t T y p e / > < / U s e r I n f o > < / S h a r e d W i t h U s e r s > < M e d i a L e n g t h I n S e c o n d s   x m l n s = " e 2 a 6 4 9 9 7 - 2 0 3 d - 4 6 5 5 - a 5 9 5 - 3 8 3 c 2 e b 1 e 8 6 5 "   x s i : n i l = " t r u e " / > < / d o c u m e n t M a n a g e m e n t > < / p : p r o p e r t i e s > 
</file>

<file path=customXml/item3.xml>��< ? x m l   v e r s i o n = " 1 . 0 " ? > < c t : c o n t e n t T y p e S c h e m a   c t : _ = " "   m a : _ = " "   m a : c o n t e n t T y p e N a m e = " D o c u m e n t "   m a : c o n t e n t T y p e I D = " 0 x 0 1 0 1 0 0 6 3 D 8 C 0 A F E 3 A 8 6 8 4 E A D 8 9 1 A A 7 E E 4 9 F B D 9 "   m a : c o n t e n t T y p e V e r s i o n = " 1 8 "   m a : c o n t e n t T y p e D e s c r i p t i o n = " C r e a t e   a   n e w   d o c u m e n t . "   m a : c o n t e n t T y p e S c o p e = " "   m a : v e r s i o n I D = " f 9 f 9 c c 9 3 0 a 8 e 5 e 8 e 0 d 3 a a 7 e 5 8 9 c 1 b 1 9 e "   x m l n s : c t = " h t t p : / / s c h e m a s . m i c r o s o f t . c o m / o f f i c e / 2 0 0 6 / m e t a d a t a / c o n t e n t T y p e "   x m l n s : m a = " h t t p : / / s c h e m a s . m i c r o s o f t . c o m / o f f i c e / 2 0 0 6 / m e t a d a t a / p r o p e r t i e s / m e t a A t t r i b u t e s " >  
 < x s d : s c h e m a   t a r g e t N a m e s p a c e = " h t t p : / / s c h e m a s . m i c r o s o f t . c o m / o f f i c e / 2 0 0 6 / m e t a d a t a / p r o p e r t i e s "   m a : r o o t = " t r u e "   m a : f i e l d s I D = " 7 3 c a 7 d 3 9 f 9 7 e 0 2 6 5 c c c 6 1 5 1 5 2 e e 8 e 9 a b "   n s 2 : _ = " "   n s 3 : _ = " "   x m l n s : x s d = " h t t p : / / w w w . w 3 . o r g / 2 0 0 1 / X M L S c h e m a "   x m l n s : x s = " h t t p : / / w w w . w 3 . o r g / 2 0 0 1 / X M L S c h e m a "   x m l n s : p = " h t t p : / / s c h e m a s . m i c r o s o f t . c o m / o f f i c e / 2 0 0 6 / m e t a d a t a / p r o p e r t i e s "   x m l n s : n s 2 = " e 2 a 6 4 9 9 7 - 2 0 3 d - 4 6 5 5 - a 5 9 5 - 3 8 3 c 2 e b 1 e 8 6 5 "   x m l n s : n s 3 = " 4 5 0 f 1 5 8 c - 3 9 7 a - 4 a 9 d - b 0 0 5 - a 4 4 c 9 2 e 0 f c c b " >  
 < x s d : i m p o r t   n a m e s p a c e = " e 2 a 6 4 9 9 7 - 2 0 3 d - 4 6 5 5 - a 5 9 5 - 3 8 3 c 2 e b 1 e 8 6 5 " / >  
 < x s d : i m p o r t   n a m e s p a c e = " 4 5 0 f 1 5 8 c - 3 9 7 a - 4 a 9 d - b 0 0 5 - a 4 4 c 9 2 e 0 f c c b " / >  
 < x s d : e l e m e n t   n a m e = " p r o p e r t i e s " >  
 < x s d : c o m p l e x T y p e >  
 < x s d : s e q u e n c e >  
 < x s d : e l e m e n t   n a m e = " d o c u m e n t M a n a g e m e n t " >  
 < x s d : c o m p l e x T y p e >  
 < x s d : a l l >  
 < x s d : e l e m e n t   r e f = " n s 2 : M e d i a S e r v i c e M e t a d a t a "   m i n O c c u r s = " 0 " / >  
 < x s d : e l e m e n t   r e f = " n s 2 : M e d i a S e r v i c e F a s t M e t a d a t a "   m i n O c c u r s = " 0 " / >  
 < x s d : e l e m e n t   r e f = " n s 2 : M e d i a S e r v i c e A u t o K e y P o i n t s "   m i n O c c u r s = " 0 " / >  
 < x s d : e l e m e n t   r e f = " n s 2 : M e d i a S e r v i c e K e y P o i n t s "   m i n O c c u r s = " 0 " / >  
 < x s d : e l e m e n t   r e f = " n s 2 : M e d i a S e r v i c e D a t e T a k e n "   m i n O c c u r s = " 0 " / >  
 < x s d : e l e m e n t   r e f = " n s 2 : M e d i a S e r v i c e A u t o T a g s "   m i n O c c u r s = " 0 " / >  
 < x s d : e l e m e n t   r e f = " n s 2 : M e d i a S e r v i c e O C R "   m i n O c c u r s = " 0 " / >  
 < x s d : e l e m e n t   r e f = " n s 2 : M e d i a S e r v i c e G e n e r a t i o n T i m e "   m i n O c c u r s = " 0 " / >  
 < x s d : e l e m e n t   r e f = " n s 2 : M e d i a S e r v i c e E v e n t H a s h C o d e "   m i n O c c u r s = " 0 " / >  
 < x s d : e l e m e n t   r e f = " n s 2 : M e d i a S e r v i c e L o c a t i o n "   m i n O c c u r s = " 0 " / >  
 < x s d : e l e m e n t   r e f = " n s 3 : S h a r e d W i t h U s e r s "   m i n O c c u r s = " 0 " / >  
 < x s d : e l e m e n t   r e f = " n s 3 : S h a r e d W i t h D e t a i l s "   m i n O c c u r s = " 0 " / >  
 < x s d : e l e m e n t   r e f = " n s 2 : M e d i a L e n g t h I n S e c o n d s "   m i n O c c u r s = " 0 " / >  
 < x s d : e l e m e n t   r e f = " n s 2 : l c f 7 6 f 1 5 5 c e d 4 d d c b 4 0 9 7 1 3 4 f f 3 c 3 3 2 f "   m i n O c c u r s = " 0 " / >  
 < x s d : e l e m e n t   r e f = " n s 3 : T a x C a t c h A l l "   m i n O c c u r s = " 0 " / >  
 < x s d : e l e m e n t   r e f = " n s 2 : M e d i a S e r v i c e O b j e c t D e t e c t o r V e r s i o n s "   m i n O c c u r s = " 0 " / >  
 < x s d : e l e m e n t   r e f = " n s 2 : M e d i a S e r v i c e S e a r c h P r o p e r t i e s "   m i n O c c u r s = " 0 " / >  
 < / x s d : a l l >  
 < / x s d : c o m p l e x T y p e >  
 < / x s d : e l e m e n t >  
 < / x s d : s e q u e n c e >  
 < / x s d : c o m p l e x T y p e >  
 < / x s d : e l e m e n t >  
 < / x s d : s c h e m a >  
 < x s d : s c h e m a   t a r g e t N a m e s p a c e = " e 2 a 6 4 9 9 7 - 2 0 3 d - 4 6 5 5 - a 5 9 5 - 3 8 3 c 2 e b 1 e 8 6 5 " 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M e d i a S e r v i c e M e t a d a t a "   m a : i n d e x = " 8 "   n i l l a b l e = " t r u e "   m a : d i s p l a y N a m e = " M e d i a S e r v i c e M e t a d a t a "   m a : h i d d e n = " t r u e "   m a : i n t e r n a l N a m e = " M e d i a S e r v i c e M e t a d a t a "   m a : r e a d O n l y = " t r u e " >  
 < x s d : s i m p l e T y p e >  
 < x s d : r e s t r i c t i o n   b a s e = " d m s : N o t e " / >  
 < / x s d : s i m p l e T y p e >  
 < / x s d : e l e m e n t >  
 < x s d : e l e m e n t   n a m e = " M e d i a S e r v i c e F a s t M e t a d a t a "   m a : i n d e x = " 9 "   n i l l a b l e = " t r u e "   m a : d i s p l a y N a m e = " M e d i a S e r v i c e F a s t M e t a d a t a "   m a : h i d d e n = " t r u e "   m a : i n t e r n a l N a m e = " M e d i a S e r v i c e F a s t M e t a d a t a "   m a : r e a d O n l y = " t r u e " >  
 < x s d : s i m p l e T y p e >  
 < x s d : r e s t r i c t i o n   b a s e = " d m s : N o t e " / >  
 < / x s d : s i m p l e T y p e >  
 < / x s d : e l e m e n t >  
 < x s d : e l e m e n t   n a m e = " M e d i a S e r v i c e A u t o K e y P o i n t s "   m a : i n d e x = " 1 0 "   n i l l a b l e = " t r u e "   m a : d i s p l a y N a m e = " M e d i a S e r v i c e A u t o K e y P o i n t s "   m a : h i d d e n = " t r u e "   m a : i n t e r n a l N a m e = " M e d i a S e r v i c e A u t o K e y P o i n t s "   m a : r e a d O n l y = " t r u e " >  
 < x s d : s i m p l e T y p e >  
 < x s d : r e s t r i c t i o n   b a s e = " d m s : N o t e " / >  
 < / x s d : s i m p l e T y p e >  
 < / x s d : e l e m e n t >  
 < x s d : e l e m e n t   n a m e = " M e d i a S e r v i c e K e y P o i n t s "   m a : i n d e x = " 1 1 "   n i l l a b l e = " t r u e "   m a : d i s p l a y N a m e = " K e y P o i n t s "   m a : i n t e r n a l N a m e = " M e d i a S e r v i c e K e y P o i n t s "   m a : r e a d O n l y = " t r u e " >  
 < x s d : s i m p l e T y p e >  
 < x s d : r e s t r i c t i o n   b a s e = " d m s : N o t e " >  
 < x s d : m a x L e n g t h   v a l u e = " 2 5 5 " / >  
 < / x s d : r e s t r i c t i o n >  
 < / x s d : s i m p l e T y p e >  
 < / x s d : e l e m e n t >  
 < x s d : e l e m e n t   n a m e = " M e d i a S e r v i c e D a t e T a k e n "   m a : i n d e x = " 1 2 "   n i l l a b l e = " t r u e "   m a : d i s p l a y N a m e = " M e d i a S e r v i c e D a t e T a k e n "   m a : h i d d e n = " t r u e "   m a : i n t e r n a l N a m e = " M e d i a S e r v i c e D a t e T a k e n "   m a : r e a d O n l y = " t r u e " >  
 < x s d : s i m p l e T y p e >  
 < x s d : r e s t r i c t i o n   b a s e = " d m s : T e x t " / >  
 < / x s d : s i m p l e T y p e >  
 < / x s d : e l e m e n t >  
 < x s d : e l e m e n t   n a m e = " M e d i a S e r v i c e A u t o T a g s "   m a : i n d e x = " 1 3 "   n i l l a b l e = " t r u e "   m a : d i s p l a y N a m e = " T a g s "   m a : i n t e r n a l N a m e = " M e d i a S e r v i c e A u t o T a g s "   m a : r e a d O n l y = " t r u e " >  
 < x s d : s i m p l e T y p e >  
 < x s d : r e s t r i c t i o n   b a s e = " d m s : T e x t " / >  
 < / x s d : s i m p l e T y p e >  
 < / x s d : e l e m e n t >  
 < x s d : e l e m e n t   n a m e = " M e d i a S e r v i c e O C R "   m a : i n d e x = " 1 4 "   n i l l a b l e = " t r u e "   m a : d i s p l a y N a m e = " E x t r a c t e d   T e x t "   m a : i n t e r n a l N a m e = " M e d i a S e r v i c e O C R "   m a : r e a d O n l y = " t r u e " >  
 < x s d : s i m p l e T y p e >  
 < x s d : r e s t r i c t i o n   b a s e = " d m s : N o t e " >  
 < x s d : m a x L e n g t h   v a l u e = " 2 5 5 " / >  
 < / x s d : r e s t r i c t i o n >  
 < / x s d : s i m p l e T y p e >  
 < / x s d : e l e m e n t >  
 < x s d : e l e m e n t   n a m e = " M e d i a S e r v i c e G e n e r a t i o n T i m e "   m a : i n d e x = " 1 5 "   n i l l a b l e = " t r u e "   m a : d i s p l a y N a m e = " M e d i a S e r v i c e G e n e r a t i o n T i m e "   m a : h i d d e n = " t r u e "   m a : i n t e r n a l N a m e = " M e d i a S e r v i c e G e n e r a t i o n T i m e "   m a : r e a d O n l y = " t r u e " >  
 < x s d : s i m p l e T y p e >  
 < x s d : r e s t r i c t i o n   b a s e = " d m s : T e x t " / >  
 < / x s d : s i m p l e T y p e >  
 < / x s d : e l e m e n t >  
 < x s d : e l e m e n t   n a m e = " M e d i a S e r v i c e E v e n t H a s h C o d e "   m a : i n d e x = " 1 6 "   n i l l a b l e = " t r u e "   m a : d i s p l a y N a m e = " M e d i a S e r v i c e E v e n t H a s h C o d e "   m a : h i d d e n = " t r u e "   m a : i n t e r n a l N a m e = " M e d i a S e r v i c e E v e n t H a s h C o d e "   m a : r e a d O n l y = " t r u e " >  
 < x s d : s i m p l e T y p e >  
 < x s d : r e s t r i c t i o n   b a s e = " d m s : T e x t " / >  
 < / x s d : s i m p l e T y p e >  
 < / x s d : e l e m e n t >  
 < x s d : e l e m e n t   n a m e = " M e d i a S e r v i c e L o c a t i o n "   m a : i n d e x = " 1 7 "   n i l l a b l e = " t r u e "   m a : d i s p l a y N a m e = " L o c a t i o n "   m a : i n t e r n a l N a m e = " M e d i a S e r v i c e L o c a t i o n "   m a : r e a d O n l y = " t r u e " >  
 < x s d : s i m p l e T y p e >  
 < x s d : r e s t r i c t i o n   b a s e = " d m s : T e x t " / >  
 < / x s d : s i m p l e T y p e >  
 < / x s d : e l e m e n t >  
 < x s d : e l e m e n t   n a m e = " M e d i a L e n g t h I n S e c o n d s "   m a : i n d e x = " 2 0 "   n i l l a b l e = " t r u e "   m a : d i s p l a y N a m e = " M e d i a L e n g t h I n S e c o n d s "   m a : h i d d e n = " t r u e "   m a : i n t e r n a l N a m e = " M e d i a L e n g t h I n S e c o n d s "   m a : r e a d O n l y = " t r u e " >  
 < x s d : s i m p l e T y p e >  
 < x s d : r e s t r i c t i o n   b a s e = " d m s : U n k n o w n " / >  
 < / x s d : s i m p l e T y p e >  
 < / x s d : e l e m e n t >  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
 < x s d : c o m p l e x T y p e >  
 < x s d : s e q u e n c e >  
 < x s d : e l e m e n t   r e f = " p c : T e r m s "   m i n O c c u r s = " 0 "   m a x O c c u r s = " 1 " > < / x s d : e l e m e n t >  
 < / x s d : s e q u e n c e >  
 < / x s d : c o m p l e x T y p e >  
 < / x s d : e l e m e n t >  
 < x s d : e l e m e n t   n a m e = " M e d i a S e r v i c e O b j e c t D e t e c t o r V e r s i o n s "   m a : i n d e x = " 2 4 "   n i l l a b l e = " t r u e "   m a : d i s p l a y N a m e = " M e d i a S e r v i c e O b j e c t D e t e c t o r V e r s i o n s "   m a : d e s c r i p t i o n = " "   m a : h i d d e n = " t r u e "   m a : i n d e x e d = " t r u e "   m a : i n t e r n a l N a m e = " M e d i a S e r v i c e O b j e c t D e t e c t o r V e r s i o n s "   m a : r e a d O n l y = " t r u e " >  
 < x s d : s i m p l e T y p e >  
 < x s d : r e s t r i c t i o n   b a s e = " d m s : T e x t " / >  
 < / x s d : s i m p l e T y p e >  
 < / x s d : e l e m e n t >  
 < x s d : e l e m e n t   n a m e = " M e d i a S e r v i c e S e a r c h P r o p e r t i e s "   m a : i n d e x = " 2 5 "   n i l l a b l e = " t r u e "   m a : d i s p l a y N a m e = " M e d i a S e r v i c e S e a r c h P r o p e r t i e s "   m a : h i d d e n = " t r u e "   m a : i n t e r n a l N a m e = " M e d i a S e r v i c e S e a r c h P r o p e r t i e s "   m a : r e a d O n l y = " t r u e " >  
 < x s d : s i m p l e T y p e >  
 < x s d : r e s t r i c t i o n   b a s e = " d m s : N o t e " / >  
 < / x s d : s i m p l e T y p e >  
 < / x s d : e l e m e n t >  
 < / x s d : s c h e m a >  
 < x s d : s c h e m a   t a r g e t N a m e s p a c e = " 4 5 0 f 1 5 8 c - 3 9 7 a - 4 a 9 d - b 0 0 5 - a 4 4 c 9 2 e 0 f c c b " 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S h a r e d W i t h U s e r s "   m a : i n d e x = " 1 8 "   n i l l a b l e = " t r u e "   m a : d i s p l a y N a m e = " S h a r e d   W i t h "   m a : i n t e r n a l N a m e = " S h a r e d W i t h U s e r s "   m a : r e a d O n l y = " t r u e " >  
 < x s d : c o m p l e x T y p e >  
 < x s d : c o m p l e x C o n t e n t >  
 < x s d : e x t e n s i o n   b a s e = " d m s : U s e r M u l t i " >  
 < x s d : s e q u e n c e >  
 < x s d : e l e m e n t   n a m e = " U s e r I n f o "   m i n O c c u r s = " 0 "   m a x O c c u r s = " u n b o u n d e d " >  
 < x s d : c o m p l e x T y p e >  
 < x s d : s e q u e n c e >  
 < x s d : e l e m e n t   n a m e = " D i s p l a y N a m e "   t y p e = " x s d : s t r i n g "   m i n O c c u r s = " 0 " / >  
 < x s d : e l e m e n t   n a m e = " A c c o u n t I d "   t y p e = " d m s : U s e r I d "   m i n O c c u r s = " 0 "   n i l l a b l e = " t r u e " / >  
 < x s d : e l e m e n t   n a m e = " A c c o u n t T y p e "   t y p e = " x s d : s t r i n g "   m i n O c c u r s = " 0 " / >  
 < / x s d : s e q u e n c e >  
 < / x s d : c o m p l e x T y p e >  
 < / x s d : e l e m e n t >  
 < / x s d : s e q u e n c e >  
 < / x s d : e x t e n s i o n >  
 < / x s d : c o m p l e x C o n t e n t >  
 < / x s d : c o m p l e x T y p e >  
 < / x s d : e l e m e n t >  
 < x s d : e l e m e n t   n a m e = " S h a r e d W i t h D e t a i l s "   m a : i n d e x = " 1 9 "   n i l l a b l e = " t r u e "   m a : d i s p l a y N a m e = " S h a r e d   W i t h   D e t a i l s "   m a : i n t e r n a l N a m e = " S h a r e d W i t h D e t a i l s "   m a : r e a d O n l y = " t r u e " >  
 < x s d : s i m p l e T y p e >  
 < x s d : r e s t r i c t i o n   b a s e = " d m s : N o t e " >  
 < x s d : m a x L e n g t h   v a l u e = " 2 5 5 " / >  
 < / x s d : r e s t r i c t i o n >  
 < / x s d : s i m p l e T y p e >  
 < / x s d : e l e m e n t >  
 < x s d : e l e m e n t   n a m e = " T a x C a t c h A l l "   m a : i n d e x = " 2 3 "   n i l l a b l e = " t r u e "   m a : d i s p l a y N a m e = " T a x o n o m y   C a t c h   A l l   C o l u m n "   m a : h i d d e n = " t r u e "   m a : l i s t = " { 9 2 c a f 6 0 2 - 7 4 8 2 - 4 7 2 1 - 8 3 8 f - b 4 f 5 b 7 1 7 d d a c } "   m a : i n t e r n a l N a m e = " T a x C a t c h A l l "   m a : s h o w F i e l d = " C a t c h A l l D a t a "   m a : w e b = " 4 5 0 f 1 5 8 c - 3 9 7 a - 4 a 9 d - b 0 0 5 - a 4 4 c 9 2 e 0 f c c b " >  
 < x s d : c o m p l e x T y p e >  
 < x s d : c o m p l e x C o n t e n t >  
 < x s d : e x t e n s i o n   b a s e = " d m s : M u l t i C h o i c e L o o k u p " >  
 < x s d : s e q u e n c e >  
 < x s d : e l e m e n t   n a m e = " V a l u e "   t y p e = " d m s : L o o k u p "   m a x O c c u r s = " u n b o u n d e d "   m i n O c c u r s = " 0 "   n i l l a b l e = " t r u e " / >  
 < / x s d : s e q u e n c e >  
 < / x s d : e x t e n s i o n >  
 < / x s d : c o m p l e x C o n t e n t >  
 < / x s d : c o m p l e x 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C o n t e n t   T y p e " / >  
 < x s d : e l e m e n t   r e f = " d c : t i t l e "   m i n O c c u r s = " 0 "   m a x O c c u r s = " 1 "   m a : i n d e x = " 4 "   m a : d i s p l a y N a m e = " T i t l e " / > 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c o n t e n t S t a t u s "   m i n O c c u r s = " 0 "   m a x O c c u r s = " 1 "   t y p e = " x s d : s t r i n g " / >  
 < / x s d : a l l >  
 < / x s d : c o m p l e x T y p e >  
 < / x s d : s c h e m a >  
 < x s : s c h e m a   t a r g e t N a m e s p a c e = " h t t p : / / s c h e m a s . m i c r o s o f t . c o m / o f f i c e / i n f o p a t h / 2 0 0 7 / P a r t n e r C o n t r o l s "   e l e m e n t F o r m D e f a u l t = " q u a l i f i e d "   a t t r i b u t e F o r m D e f a u l t = " u n q u a l i f i e d "   x m l n s : p c = " h t t p : / / s c h e m a s . m i c r o s o f t . c o m / o f f i c e / i n f o p a t h / 2 0 0 7 / P a r t n e r C o n t r o l s "   x m l n s : x s = " h t t p : / / w w w . w 3 . o r g / 2 0 0 1 / X M L S c h e m a " >  
 < x s : e l e m e n t   n a m e = " P e r s o n " >  
 < x s : c o m p l e x T y p e >  
 < x s : s e q u e n c e >  
 < x s : e l e m e n t   r e f = " p c : D i s p l a y N a m e "   m i n O c c u r s = " 0 " > < / x s : e l e m e n t >  
 < x s : e l e m e n t   r e f = " p c : A c c o u n t I d "   m i n O c c u r s = " 0 " > < / x s : e l e m e n t >  
 < x s : e l e m e n t   r e f = " p c : A c c o u n t T y p e "   m i n O c c u r s = " 0 " > < / x s : e l e m e n t >  
 < / x s : s e q u e n c e >  
 < / x s : c o m p l e x T y p e >  
 < / x s : e l e m e n t >  
 < x s : e l e m e n t   n a m e = " D i s p l a y N a m e "   t y p e = " x s : s t r i n g " > < / x s : e l e m e n t >  
 < x s : e l e m e n t   n a m e = " A c c o u n t I d "   t y p e = " x s : s t r i n g " > < / x s : e l e m e n t >  
 < x s : e l e m e n t   n a m e = " A c c o u n t T y p e "   t y p e = " x s : s t r i n g " > < / x s : e l e m e n t >  
 < x s : e l e m e n t   n a m e = " B D C A s s o c i a t e d E n t i t y " >  
 < x s : c o m p l e x T y p e >  
 < x s : s e q u e n c e >  
 < x s : e l e m e n t   r e f = " p c : B D C E n t i t y "   m i n O c c u r s = " 0 "   m a x O c c u r s = " u n b o u n d e d " > < / x s : e l e m e n t >  
 < / x s : s e q u e n c e >  
 < x s : a t t r i b u t e   r e f = " p c : E n t i t y N a m e s p a c e " > < / x s : a t t r i b u t e >  
 < x s : a t t r i b u t e   r e f = " p c : E n t i t y N a m e " > < / x s : a t t r i b u t e >  
 < x s : a t t r i b u t e   r e f = " p c : S y s t e m I n s t a n c e N a m e " > < / x s : a t t r i b u t e >  
 < x s : a t t r i b u t e   r e f = " p c : A s s o c i a t i o n N a m e " > < / x s : a t t r i b u t e >  
 < / x s : c o m p l e x T y p e >  
 < / x s : e l e m e n t >  
 < x s : a t t r i b u t e   n a m e = " E n t i t y N a m e s p a c e "   t y p e = " x s : s t r i n g " > < / x s : a t t r i b u t e >  
 < x s : a t t r i b u t e   n a m e = " E n t i t y N a m e "   t y p e = " x s : s t r i n g " > < / x s : a t t r i b u t e >  
 < x s : a t t r i b u t e   n a m e = " S y s t e m I n s t a n c e N a m e "   t y p e = " x s : s t r i n g " > < / x s : a t t r i b u t e >  
 < x s : a t t r i b u t e   n a m e = " A s s o c i a t i o n N a m e "   t y p e = " x s : s t r i n g " > < / x s : a t t r i b u t e >  
 < x s : e l e m e n t   n a m e = " B D C E n t i t y " >  
 < x s : c o m p l e x T y p e >  
 < x s : s e q u e n c e >  
 < x s : e l e m e n t   r e f = " p c : E n t i t y D i s p l a y N a m e "   m i n O c c u r s = " 0 " > < / x s : e l e m e n t >  
 < x s : e l e m e n t   r e f = " p c : E n t i t y I n s t a n c e R e f e r e n c e "   m i n O c c u r s = " 0 " > < / x s : e l e m e n t >  
 < x s : e l e m e n t   r e f = " p c : E n t i t y I d 1 "   m i n O c c u r s = " 0 " > < / x s : e l e m e n t >  
 < x s : e l e m e n t   r e f = " p c : E n t i t y I d 2 "   m i n O c c u r s = " 0 " > < / x s : e l e m e n t >  
 < x s : e l e m e n t   r e f = " p c : E n t i t y I d 3 "   m i n O c c u r s = " 0 " > < / x s : e l e m e n t >  
 < x s : e l e m e n t   r e f = " p c : E n t i t y I d 4 "   m i n O c c u r s = " 0 " > < / x s : e l e m e n t >  
 < x s : e l e m e n t   r e f = " p c : E n t i t y I d 5 "   m i n O c c u r s = " 0 " > < / x s : e l e m e n t >  
 < / x s : s e q u e n c e >  
 < / x s : c o m p l e x T y p e >  
 < / x s : e l e m e n t >  
 < x s : e l e m e n t   n a m e = " E n t i t y D i s p l a y N a m e "   t y p e = " x s : s t r i n g " > < / x s : e l e m e n t >  
 < x s : e l e m e n t   n a m e = " E n t i t y I n s t a n c e R e f e r e n c e "   t y p e = " x s : s t r i n g " > < / x s : e l e m e n t >  
 < x s : e l e m e n t   n a m e = " E n t i t y I d 1 "   t y p e = " x s : s t r i n g " > < / x s : e l e m e n t >  
 < x s : e l e m e n t   n a m e = " E n t i t y I d 2 "   t y p e = " x s : s t r i n g " > < / x s : e l e m e n t >  
 < x s : e l e m e n t   n a m e = " E n t i t y I d 3 "   t y p e = " x s : s t r i n g " > < / x s : e l e m e n t >  
 < x s : e l e m e n t   n a m e = " E n t i t y I d 4 "   t y p e = " x s : s t r i n g " > < / x s : e l e m e n t >  
 < x s : e l e m e n t   n a m e = " E n t i t y I d 5 "   t y p e = " x s : s t r i n g " > < / x s : e l e m e n t >  
 < x s : e l e m e n t   n a m e = " T e r m s " >  
 < x s : c o m p l e x T y p e >  
 < x s : s e q u e n c e >  
 < x s : e l e m e n t   r e f = " p c : T e r m I n f o "   m i n O c c u r s = " 0 "   m a x O c c u r s = " u n b o u n d e d " > < / x s : e l e m e n t >  
 < / x s : s e q u e n c e >  
 < / x s : c o m p l e x T y p e >  
 < / x s : e l e m e n t >  
 < x s : e l e m e n t   n a m e = " T e r m I n f o " >  
 < x s : c o m p l e x T y p e >  
 < x s : s e q u e n c e >  
 < x s : e l e m e n t   r e f = " p c : T e r m N a m e "   m i n O c c u r s = " 0 " > < / x s : e l e m e n t >  
 < x s : e l e m e n t   r e f = " p c : T e r m I d "   m i n O c c u r s = " 0 " > < / x s : e l e m e n t >  
 < / x s : s e q u e n c e >  
 < / x s : c o m p l e x T y p e >  
 < / x s : e l e m e n t >  
 < x s : e l e m e n t   n a m e = " T e r m N a m e "   t y p e = " x s : s t r i n g " > < / x s : e l e m e n t >  
 < x s : e l e m e n t   n a m e = " T e r m I d "   t y p e = " x s : s t r i n g " > < / x s : e l e m e n t >  
 < / x s : s c h e m a >  
 < / c t : c o n t e n t T y p e S c h e m a > 
</file>

<file path=customXml/itemProps1.xml><?xml version="1.0" encoding="utf-8"?>
<ds:datastoreItem xmlns:ds="http://schemas.openxmlformats.org/officeDocument/2006/customXml" ds:itemID="{9F1914CC-7219-43E3-B21C-9BACA3A2FEB7}">
  <ds:schemaRefs/>
</ds:datastoreItem>
</file>

<file path=customXml/itemProps2.xml><?xml version="1.0" encoding="utf-8"?>
<ds:datastoreItem xmlns:ds="http://schemas.openxmlformats.org/officeDocument/2006/customXml" ds:itemID="{00203184-C044-4506-B388-6F341718404D}">
  <ds:schemaRefs/>
</ds:datastoreItem>
</file>

<file path=customXml/itemProps3.xml><?xml version="1.0" encoding="utf-8"?>
<ds:datastoreItem xmlns:ds="http://schemas.openxmlformats.org/officeDocument/2006/customXml" ds:itemID="{D3E8AC68-E83A-4C8B-B177-0878695B47D5}">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3</vt:i4>
      </vt:variant>
    </vt:vector>
  </HeadingPairs>
  <TitlesOfParts>
    <vt:vector size="3" baseType="lpstr">
      <vt:lpstr> Clé</vt:lpstr>
      <vt:lpstr> Outil</vt:lpstr>
      <vt:lpstr> Analyse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Greiner, Ashley (CDC/DDPHSIS/CGH/DGHP)</dc:creator>
  <cp:lastModifiedBy>gomezp</cp:lastModifiedBy>
  <dcterms:created xsi:type="dcterms:W3CDTF">2022-04-20T19:44:00Z</dcterms:created>
  <dcterms:modified xsi:type="dcterms:W3CDTF">2024-11-07T13:28:12Z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2022-04-20T20:00:05Z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864a38c9-7c6d-4c9c-8be1-6ae92252a851</vt:lpwstr>
  </property>
  <property fmtid="{D5CDD505-2E9C-101B-9397-08002B2CF9AE}" pid="8" name="MSIP_Label_7b94a7b8-f06c-4dfe-bdcc-9b548fd58c31_ContentBits">
    <vt:lpwstr>0</vt:lpwstr>
  </property>
  <property fmtid="{D5CDD505-2E9C-101B-9397-08002B2CF9AE}" pid="9" name="ContentTypeId">
    <vt:lpwstr>0x01010063D8C0AFE3A8684EAD891AA7EE49FBD9</vt:lpwstr>
  </property>
  <property fmtid="{D5CDD505-2E9C-101B-9397-08002B2CF9AE}" pid="10" name="MediaServiceImageTags">
    <vt:lpwstr/>
  </property>
  <property fmtid="{D5CDD505-2E9C-101B-9397-08002B2CF9AE}" pid="11" name="Order">
    <vt:r8>8846000</vt:r8>
  </property>
  <property fmtid="{D5CDD505-2E9C-101B-9397-08002B2CF9AE}" pid="12" name="xd_Signature">
    <vt:bool>false</vt:bool>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y fmtid="{D5CDD505-2E9C-101B-9397-08002B2CF9AE}" pid="18" name="_AdHocReviewCycleID">
    <vt:i4>-823394007</vt:i4>
  </property>
  <property fmtid="{D5CDD505-2E9C-101B-9397-08002B2CF9AE}" pid="19" name="_NewReviewCycle">
    <vt:lpwstr/>
  </property>
  <property fmtid="{D5CDD505-2E9C-101B-9397-08002B2CF9AE}" pid="20" name="_EmailSubject">
    <vt:lpwstr>RRT-EMT HQ/RFPs monthly meeting</vt:lpwstr>
  </property>
  <property fmtid="{D5CDD505-2E9C-101B-9397-08002B2CF9AE}" pid="21" name="_AuthorEmail">
    <vt:lpwstr>relanp@who.int</vt:lpwstr>
  </property>
  <property fmtid="{D5CDD505-2E9C-101B-9397-08002B2CF9AE}" pid="22" name="_AuthorEmailDisplayName">
    <vt:lpwstr>RELAN, Pryanka</vt:lpwstr>
  </property>
  <property fmtid="{D5CDD505-2E9C-101B-9397-08002B2CF9AE}" pid="23" name="_ReviewingToolsShownOnce">
    <vt:lpwstr/>
  </property>
  <property fmtid="{D5CDD505-2E9C-101B-9397-08002B2CF9AE}" pid="24" name="ICV">
    <vt:lpwstr>192573CD7A1E497DBFAA29C9FAEE12A0_13</vt:lpwstr>
  </property>
  <property fmtid="{D5CDD505-2E9C-101B-9397-08002B2CF9AE}" pid="25" name="KSOProductBuildVer">
    <vt:lpwstr>1033-12.2.0.18607</vt:lpwstr>
  </property>
</Properties>
</file>